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 sheetId="1" r:id="rId4"/>
    <sheet state="visible" name="A typical Industry practiceNo H" sheetId="2" r:id="rId5"/>
    <sheet state="visible" name="Another Industry practice No Gr" sheetId="3" r:id="rId6"/>
    <sheet state="visible" name="Performance Fee - Sameeksha Pre" sheetId="4" r:id="rId7"/>
    <sheet state="visible" name="Perf Fee - Sameeksha Current Me" sheetId="5" r:id="rId8"/>
    <sheet state="visible" name="Sheet4" sheetId="6" r:id="rId9"/>
  </sheets>
  <definedNames/>
  <calcPr/>
</workbook>
</file>

<file path=xl/sharedStrings.xml><?xml version="1.0" encoding="utf-8"?>
<sst xmlns="http://schemas.openxmlformats.org/spreadsheetml/2006/main" count="385" uniqueCount="153">
  <si>
    <t>PLEASE  NOTE THAT THIS WORKING INCLUDING THE RETURNS ASSUMED ARE ONLY FOR ILLUSTRATIVE PURPOSES. REQUEST YOU TO READ THIS WITH THE SAID CONTEXT. TO UNDERSTAND THE NUANCES OF THE CALCULATION, IT IS ADVISED THAT YOU REACH OUT TO YOUR RELATIONSHIP MANAGER AT SAMEEKSHA CAPITAL. THIS CALCULATION DOES NOT GUARANTEE ANY RETURNS. ERRORS IN THIS CALCULATION CANNOT BIND US</t>
  </si>
  <si>
    <t>ONLY EDIT THE YELLOW HIGHLIGHTED FIELDS</t>
  </si>
  <si>
    <t>Explanation of Fee Calculation Methodologies and Their Nuances</t>
  </si>
  <si>
    <t>1. A typical Industry practice : No Hurdle Rate Accumulation</t>
  </si>
  <si>
    <t>The High Water Mark is not grossed up for either Management or Performance Fees.
The Hurdle Rate is not accumulated if Performance Fees were not charged in the previous year.</t>
  </si>
  <si>
    <t>2. Another Industry practice  : No Grossing Up of Fees</t>
  </si>
  <si>
    <t>The High Water Mark is not grossed up for either Management or Performance Fees.
The Hurdle Rate is accumulated in this case if Performance Fees were not charged in the previous year.</t>
  </si>
  <si>
    <t>3. Sameeksha Previous Method</t>
  </si>
  <si>
    <t>The High Water Mark is grossed up for Performance Fees.
The Hurdle Rate is accumulated if Performance Fees were not charged in the previous year.</t>
  </si>
  <si>
    <t>4. Sameeksha Current Method</t>
  </si>
  <si>
    <t>The High Water Mark is grossed up for both Management and Performance Fees.
The Hurdle Rate is accumulated if Performance Fees were not charged in the previous year.
Additionally, Performance Fees are capped such that the returns after the performance fees do not fall below the Benchmark Returns.</t>
  </si>
  <si>
    <t>Summary Table (Value in INR Lakhs)</t>
  </si>
  <si>
    <t>Method 1:  
No Hurdle Rate Accumulation</t>
  </si>
  <si>
    <t>Method 2 :
No Grossing Up of Fees</t>
  </si>
  <si>
    <t>Sameeksha Previous Method</t>
  </si>
  <si>
    <t>Sameeksha Current Method</t>
  </si>
  <si>
    <t>Total Fees Charged Over Five years</t>
  </si>
  <si>
    <t>- Management Fees Charged Over five years</t>
  </si>
  <si>
    <t>- Performance Fees Charged Over five years</t>
  </si>
  <si>
    <t>Portfolio Value After 5 years</t>
  </si>
  <si>
    <t>5 Year CAGR Return</t>
  </si>
  <si>
    <t>Beginning Value</t>
  </si>
  <si>
    <t>Management Fees</t>
  </si>
  <si>
    <t>Hurdle Rate</t>
  </si>
  <si>
    <t>Performance Fees</t>
  </si>
  <si>
    <t>Rate of Return</t>
  </si>
  <si>
    <t>Year 1</t>
  </si>
  <si>
    <t>Year 2</t>
  </si>
  <si>
    <t>Year 3</t>
  </si>
  <si>
    <t>Year 4</t>
  </si>
  <si>
    <t>Year 5</t>
  </si>
  <si>
    <t>Sameeksha PMS</t>
  </si>
  <si>
    <t>BSE 500 TRI</t>
  </si>
  <si>
    <t>Management Fee</t>
  </si>
  <si>
    <t>Total</t>
  </si>
  <si>
    <t>Management Fee charged as per typical Industry practice : No Hurdle Rate Accumulation</t>
  </si>
  <si>
    <t>Management Fee charged as per Another Industry practice  : No Grossing Up of Fees</t>
  </si>
  <si>
    <t>Management Fee Charged as per Sameeksha previous method</t>
  </si>
  <si>
    <t>Management Fee Charged as per Sameeksha current method</t>
  </si>
  <si>
    <t>Performance Fee</t>
  </si>
  <si>
    <t>Perfromance Fees Charged as per typical industry standard : No Hurdle Rate Accumulation</t>
  </si>
  <si>
    <t>Perfromance Fees Charged as per another industry practice : No Grossing up of Fees</t>
  </si>
  <si>
    <t>Perfromance Fees Charged as per Sameeksha previous method</t>
  </si>
  <si>
    <t>Performance Fees Charged as per Sameeksha current method</t>
  </si>
  <si>
    <t>Performance Fee Carried Forward</t>
  </si>
  <si>
    <t>Previous Carry forward Fee charged</t>
  </si>
  <si>
    <t>Common Assumptions:</t>
  </si>
  <si>
    <t xml:space="preserve">Performance Fees </t>
  </si>
  <si>
    <t xml:space="preserve">Brokerage </t>
  </si>
  <si>
    <t>Other expenses</t>
  </si>
  <si>
    <t>GST</t>
  </si>
  <si>
    <r>
      <rPr>
        <rFont val="Calibri, sans-serif"/>
        <color rgb="FF000000"/>
        <sz val="11.0"/>
      </rPr>
      <t xml:space="preserve">Fixed Fees - </t>
    </r>
    <r>
      <rPr>
        <rFont val="Calibri, sans-serif"/>
        <b/>
        <color rgb="FF000000"/>
        <sz val="11.0"/>
      </rPr>
      <t xml:space="preserve">For this working, fixed management fees is calculated on the average value. Sameeksha calculates fixed fees on the daily AUM </t>
    </r>
  </si>
  <si>
    <t>SAMEEKSHA METHOD</t>
  </si>
  <si>
    <t>A</t>
  </si>
  <si>
    <t>B</t>
  </si>
  <si>
    <t>BSE 500 Returns</t>
  </si>
  <si>
    <t>C</t>
  </si>
  <si>
    <t>Alpha (C  = A - B)</t>
  </si>
  <si>
    <t>D</t>
  </si>
  <si>
    <t>High Water Mark for calculation of performance fee ( D  = Higher of ( D , J ) if performance is charged in the previous year else previous high water mark )</t>
  </si>
  <si>
    <t>E</t>
  </si>
  <si>
    <t>Opening Value</t>
  </si>
  <si>
    <t>F</t>
  </si>
  <si>
    <t>Portfolio return ( F = D * A)</t>
  </si>
  <si>
    <t>G</t>
  </si>
  <si>
    <t>Portfolio Value Before Expenses (G  = E + F)</t>
  </si>
  <si>
    <t>H</t>
  </si>
  <si>
    <t>Daily Weighted Average assets under management H =((E+G)/2)</t>
  </si>
  <si>
    <t>I</t>
  </si>
  <si>
    <t>Brokerage (I = H* 3)</t>
  </si>
  <si>
    <t>J</t>
  </si>
  <si>
    <t>Fixed Management Fees J = (H-I) * 5)</t>
  </si>
  <si>
    <t>K</t>
  </si>
  <si>
    <t>Portfolio Value Post Fixed Fees ( K = G - I - J)</t>
  </si>
  <si>
    <t>L</t>
  </si>
  <si>
    <t>Returns post Fixed Fees and above High Water mark ( L  = K / D - 1 )</t>
  </si>
  <si>
    <t>M</t>
  </si>
  <si>
    <t>Hurdle Rate for performance calculation (If L = 0, Previous Hurdle + Current Year Hurdle else Current Year Hurdle)</t>
  </si>
  <si>
    <t>N</t>
  </si>
  <si>
    <t>Returns over hurdle rate ( N = L  - M , 0 if negative )</t>
  </si>
  <si>
    <t>O</t>
  </si>
  <si>
    <t>Performance fees (in %) ( O  = N * 2)</t>
  </si>
  <si>
    <t>P</t>
  </si>
  <si>
    <t>Performance fees (INR)  (P = O * E)</t>
  </si>
  <si>
    <t>Q</t>
  </si>
  <si>
    <t>Portfolio Value Post Performance Fees (Q = K - P)</t>
  </si>
  <si>
    <t>Net Portfolio Returns</t>
  </si>
  <si>
    <r>
      <rPr>
        <rFont val="Calibri, sans-serif"/>
        <color rgb="FF000000"/>
        <sz val="11.0"/>
      </rPr>
      <t xml:space="preserve">Fixed Fees - </t>
    </r>
    <r>
      <rPr>
        <rFont val="Calibri, sans-serif"/>
        <b/>
        <color rgb="FF000000"/>
        <sz val="11.0"/>
      </rPr>
      <t xml:space="preserve">For this working, fixed management fees is calculated on the average value. Sameeksha calculates fixed fees on the daily AUM </t>
    </r>
  </si>
  <si>
    <r>
      <rPr>
        <rFont val="Calibri, sans-serif"/>
        <color rgb="FF000000"/>
        <sz val="11.0"/>
      </rPr>
      <t xml:space="preserve">Fixed Fees - </t>
    </r>
    <r>
      <rPr>
        <rFont val="Calibri, sans-serif"/>
        <b/>
        <color rgb="FF000000"/>
        <sz val="11.0"/>
      </rPr>
      <t xml:space="preserve">For this working, fixed management fees is calculated on the average value. Sameeksha calculates fixed fees on the daily AUM </t>
    </r>
  </si>
  <si>
    <r>
      <rPr>
        <rFont val="Calibri, sans-serif"/>
        <color rgb="FF000000"/>
        <sz val="11.0"/>
      </rPr>
      <t xml:space="preserve">Fixed Fees - </t>
    </r>
    <r>
      <rPr>
        <rFont val="Calibri, sans-serif"/>
        <b/>
        <color rgb="FF000000"/>
        <sz val="11.0"/>
      </rPr>
      <t xml:space="preserve">For this working, fixed management fees is calculated on the average value. Sameeksha calculates fixed fees on the daily AUM </t>
    </r>
  </si>
  <si>
    <t>High Water Mark for calculation of performance fee ( D  = Higher of ( D , L+K ) if performance is charged in the previous year else previous high water mark )</t>
  </si>
  <si>
    <t>Portfolio return ( F = E * A)</t>
  </si>
  <si>
    <t>Other Expense (H*4)</t>
  </si>
  <si>
    <t>Fixed Management Fees (K = (H-I-J) * 6 * (1(one)+5)</t>
  </si>
  <si>
    <t>Portfolio Value Post Fixed Fees ( K = G - I - J - K)</t>
  </si>
  <si>
    <t>Returns post Fixed Fees and above High Water mark ( M  = L / D - 1 )</t>
  </si>
  <si>
    <t>Hurdle Rate for performance calculation (If P &gt; 0, 1 else Previous Year Hurdle + 1)</t>
  </si>
  <si>
    <t>Returns over hurdle rate ( If M - N &lt; 0, 0 else M - N)</t>
  </si>
  <si>
    <t>Performance fees (in %) ( P  = O * (2 * (1(one) + 5)))</t>
  </si>
  <si>
    <t>Returns post performance fees (Q = M - P)</t>
  </si>
  <si>
    <t>R</t>
  </si>
  <si>
    <t>BSE 500 Returns (Cumulated if performance fees not charged) (If U = 0, Previous Year Benchmark Return + Current Year Benchmark Return else Current Year Benchmark Return)</t>
  </si>
  <si>
    <t>S</t>
  </si>
  <si>
    <t>Performance fees to be charged ( R = IF( Q&lt; R , Higher of (0, M - R), P))</t>
  </si>
  <si>
    <t>T</t>
  </si>
  <si>
    <t>Performance fees to be carried forward (T = P - S)</t>
  </si>
  <si>
    <t>U</t>
  </si>
  <si>
    <t>Total Performance Fees for the year  (U = E * P)</t>
  </si>
  <si>
    <t>V</t>
  </si>
  <si>
    <t>Performance Fees to be charged (V = E * S)</t>
  </si>
  <si>
    <t>W</t>
  </si>
  <si>
    <t>Performance Fees to be carried forward (W = U - V)</t>
  </si>
  <si>
    <t>X</t>
  </si>
  <si>
    <t>Portfolio Value post performance fees (X = L - V)</t>
  </si>
  <si>
    <t>Y</t>
  </si>
  <si>
    <t>Performance fees carried forward ( If W = 0, Previous year remaining performance fees else Previous year remaining performance fees + Current Year Performance fees to be carried forward)</t>
  </si>
  <si>
    <t>Z</t>
  </si>
  <si>
    <t>Excess Portfolio Value that can be utilised to collect previous year performance fees (If O = 0, 0 else If (M - R - S &lt; 0, 0 else M - R - S ) * E)</t>
  </si>
  <si>
    <t>A1</t>
  </si>
  <si>
    <t>Performance fees charged this year from cumulated fees (if Y = 0, 0 else If ( Z = 0, 0 else If ( Z - Y &lt; 0, Z else If ( Z &gt; Y, Y ))))</t>
  </si>
  <si>
    <t>B1</t>
  </si>
  <si>
    <t>Remaining Performance fees (B1 = Y - A1)</t>
  </si>
  <si>
    <t>C1</t>
  </si>
  <si>
    <t>Portfolio Value post charging fees from current year and previous years.  (C1 = X - A1)</t>
  </si>
  <si>
    <t>D1</t>
  </si>
  <si>
    <t>Net Portfolio Returns (D1 = C1 / E - 1)</t>
  </si>
  <si>
    <t>Notes</t>
  </si>
  <si>
    <t>In the illustration, Management fee is assumed to be charged annually. However, the Portfolio Manager may charge fee at any other frequency (i.e. Quarterly, Semi-annually, Annually) as defined in the PMS agreement and permitted under SEBI regulations.</t>
  </si>
  <si>
    <t>Portfolio Manager can charge Management Fee on Average portfolio value for the management fee period or the closing portfolio value or in any other manner as defined in the PMS agreement and permitted under SEBI regulations.</t>
  </si>
  <si>
    <t>Returns are assumed to be generated linearly through the year.</t>
  </si>
  <si>
    <t>Other Expenses includes stamp duty /Audit Fee/ Bank charges or other miscellaneous expense. We absorb the Fund Accounting and Custody charges in the Management Fees</t>
  </si>
  <si>
    <t>Brokerage and transaction cost for the illustration purpose is charged on the Average AUM. However, Brokerage and Transaction cost are charged on basis the actuals trades.</t>
  </si>
  <si>
    <t>All Fees and charges are subject to GST.</t>
  </si>
  <si>
    <t>For this illustration, High Water Mark for the 1st Year is the Capital invested. From the second year onwards, HWM is reset to the Portfolio Value before deduction of Performance fee and management fees whenever Performance fee is deducted. In other words, HWM is carried forward if no performance fees are due for that year.</t>
  </si>
  <si>
    <t>For this illustration, if performance fee is not due in the current year, then the hurdle rate is carried forward to the next year. In other words, Hurdle rate is cumulated till performance fee is charged in a year. This cumulated Hurdle rate is applied on the HWM. However, in actual Hurdle Rate of return is defined in the PMS agreement and may differ from this illustration.</t>
  </si>
  <si>
    <t>Hurdle rate is prorated in case the performance fee period is less than 1 year OR if there are inflow/outflows from the portfolio</t>
  </si>
  <si>
    <t>The above calculator assumes that the performance fee is charged from the portfolio itself.</t>
  </si>
  <si>
    <t>This is only a generic illustration, each portfolio manager can modify the illustration as per the terms and condition of their PMS agreement.</t>
  </si>
  <si>
    <t>The carried-forward performance fees shall be charged in subsequent financial years only if net portfolio returns, after the charging of performance fees including the carried-forward performance fees, meet or exceed the benchmark returns for that period.</t>
  </si>
  <si>
    <t>In the situation of partial redemption, performance fees capping won’t be applied till the time of full redemption and any remaining carried-forward performance fees shall be charged at the time of partial redemption on the proportionate basis of the AUM redeemed .</t>
  </si>
  <si>
    <r>
      <rPr>
        <rFont val="Calibri, sans-serif"/>
        <color rgb="FF000000"/>
        <sz val="11.0"/>
      </rPr>
      <t xml:space="preserve">Fixed Fees - </t>
    </r>
    <r>
      <rPr>
        <rFont val="Calibri, sans-serif"/>
        <b/>
        <color rgb="FF000000"/>
        <sz val="11.0"/>
      </rPr>
      <t xml:space="preserve">For this working, fixed management fees is calculated on the average value. Sameeksha calculates fixed fees on the daily AUM </t>
    </r>
  </si>
  <si>
    <t>Opening Value ( E = Beginning Value )</t>
  </si>
  <si>
    <t>Portfolio return ( F = A * E)</t>
  </si>
  <si>
    <t>Daily Weighted Average assets under management ( H =((E+G)/2 ))</t>
  </si>
  <si>
    <t>Hurdle Rate for performance calculation ( N = 1 )</t>
  </si>
  <si>
    <t>BSE 500 Returns (Cumulated if performance fees not charged) ( R = B )</t>
  </si>
  <si>
    <t>Performance fees carried forward ( Y = W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</si>
  <si>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</si>
  <si>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Portfolio Manager can charge Management Fee on Average portfolio value for the management fee period or the closing portfolio value or in any other manner as defined in the PMS agreement.</t>
  </si>
  <si>
    <t>For this illustration, High Water Mark for the 1st Year is the Capital invested. From the second year onwards, HWM is reset to the Portfolio Value before deduction of Performance and management fee whenever Performance fee is deducted. In other words, HWM is carried forward if no performance fees are due for that year.</t>
  </si>
  <si>
    <t>The above illustration shows the High Water Mark to be carried forward in different scenario for equal and fair treatment to the investor.</t>
  </si>
  <si>
    <t>Performance fees carried forward will be charged in a subsequent years only if sufficient alpha is generated, such that deducting the remaining fees does not reduce performance below the benchmark return</t>
  </si>
  <si>
    <t xml:space="preserve">Any pending performance fees from previous years will be charged at the time of full redemption along with any performance fees for the current year.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</si>
</sst>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0.0000"/>
    <numFmt numFmtId="166" formatCode="#,##0.000"/>
    <numFmt numFmtId="167" formatCode="0.0%"/>
  </numFmts>
  <fonts count="15">
    <font>
      <sz val="10.0"/>
      <color rgb="FF000000"/>
      <name val="Arial"/>
      <scheme val="minor"/>
    </font>
    <font>
      <b/>
      <sz val="11.0"/>
      <color rgb="FF000000"/>
      <name val="Calibri"/>
    </font>
    <font>
      <b/>
      <color theme="1"/>
      <name val="Arial"/>
      <scheme val="minor"/>
    </font>
    <font>
      <b/>
      <color rgb="FFFFFFFF"/>
      <name val="Arial"/>
      <scheme val="minor"/>
    </font>
    <font>
      <color theme="1"/>
      <name val="Arial"/>
      <scheme val="minor"/>
    </font>
    <font/>
    <font>
      <sz val="11.0"/>
      <color rgb="FF000000"/>
      <name val="Calibri"/>
    </font>
    <font>
      <b/>
      <color theme="1"/>
      <name val="Arial"/>
    </font>
    <font>
      <sz val="11.0"/>
      <color theme="1"/>
      <name val="Calibri"/>
    </font>
    <font>
      <color theme="1"/>
      <name val="Arial"/>
    </font>
    <font>
      <b/>
      <sz val="11.0"/>
      <color theme="1"/>
      <name val="Calibri"/>
    </font>
    <font>
      <i/>
      <color theme="1"/>
      <name val="Arial"/>
      <scheme val="minor"/>
    </font>
    <font>
      <color rgb="FFFF0000"/>
      <name val="Arial"/>
    </font>
    <font>
      <b/>
      <sz val="10.0"/>
      <color rgb="FF000000"/>
      <name val="Arial"/>
      <scheme val="minor"/>
    </font>
    <font>
      <sz val="10.0"/>
      <color rgb="FF000000"/>
      <name val="Arial"/>
    </font>
  </fonts>
  <fills count="9">
    <fill>
      <patternFill patternType="none"/>
    </fill>
    <fill>
      <patternFill patternType="lightGray"/>
    </fill>
    <fill>
      <patternFill patternType="solid">
        <fgColor rgb="FFFF9900"/>
        <bgColor rgb="FFFF9900"/>
      </patternFill>
    </fill>
    <fill>
      <patternFill patternType="solid">
        <fgColor rgb="FFFFF2CC"/>
        <bgColor rgb="FFFFF2CC"/>
      </patternFill>
    </fill>
    <fill>
      <patternFill patternType="solid">
        <fgColor rgb="FF073763"/>
        <bgColor rgb="FF073763"/>
      </patternFill>
    </fill>
    <fill>
      <patternFill patternType="solid">
        <fgColor rgb="FFD9EAD3"/>
        <bgColor rgb="FFD9EAD3"/>
      </patternFill>
    </fill>
    <fill>
      <patternFill patternType="solid">
        <fgColor rgb="FFF9CB9C"/>
        <bgColor rgb="FFF9CB9C"/>
      </patternFill>
    </fill>
    <fill>
      <patternFill patternType="solid">
        <fgColor rgb="FFA4C2F4"/>
        <bgColor rgb="FFA4C2F4"/>
      </patternFill>
    </fill>
    <fill>
      <patternFill patternType="solid">
        <fgColor rgb="FFFFFFFF"/>
        <bgColor rgb="FFFFFFFF"/>
      </patternFill>
    </fill>
  </fills>
  <borders count="1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right style="thin">
        <color rgb="FF000000"/>
      </right>
    </border>
    <border>
      <top style="thin">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185">
    <xf borderId="0" fillId="0" fontId="0" numFmtId="0" xfId="0" applyAlignment="1" applyFont="1">
      <alignment readingOrder="0" shrinkToFit="0" vertical="bottom" wrapText="0"/>
    </xf>
    <xf borderId="0" fillId="2" fontId="1" numFmtId="0" xfId="0" applyAlignment="1" applyFill="1" applyFont="1">
      <alignment readingOrder="0" shrinkToFit="0" vertical="bottom" wrapText="1"/>
    </xf>
    <xf borderId="0" fillId="3" fontId="2" numFmtId="0" xfId="0" applyAlignment="1" applyFill="1" applyFont="1">
      <alignment readingOrder="0"/>
    </xf>
    <xf borderId="0" fillId="4" fontId="3" numFmtId="0" xfId="0" applyAlignment="1" applyFill="1" applyFont="1">
      <alignment horizontal="center" readingOrder="0"/>
    </xf>
    <xf borderId="1" fillId="0" fontId="4" numFmtId="0" xfId="0" applyAlignment="1" applyBorder="1" applyFont="1">
      <alignment readingOrder="0" vertical="center"/>
    </xf>
    <xf borderId="2" fillId="0" fontId="4" numFmtId="0" xfId="0" applyAlignment="1" applyBorder="1" applyFont="1">
      <alignment readingOrder="0"/>
    </xf>
    <xf borderId="3" fillId="0" fontId="5" numFmtId="0" xfId="0" applyBorder="1" applyFont="1"/>
    <xf borderId="4" fillId="0" fontId="5" numFmtId="0" xfId="0" applyBorder="1" applyFont="1"/>
    <xf borderId="1" fillId="4" fontId="3" numFmtId="0" xfId="0" applyAlignment="1" applyBorder="1" applyFont="1">
      <alignment readingOrder="0" vertical="center"/>
    </xf>
    <xf borderId="1" fillId="4" fontId="3" numFmtId="0" xfId="0" applyAlignment="1" applyBorder="1" applyFont="1">
      <alignment horizontal="center" readingOrder="0" shrinkToFit="0" vertical="center" wrapText="1"/>
    </xf>
    <xf borderId="1" fillId="0" fontId="2" numFmtId="0" xfId="0" applyAlignment="1" applyBorder="1" applyFont="1">
      <alignment readingOrder="0"/>
    </xf>
    <xf borderId="1" fillId="0" fontId="2" numFmtId="164" xfId="0" applyAlignment="1" applyBorder="1" applyFont="1" applyNumberFormat="1">
      <alignment horizontal="center"/>
    </xf>
    <xf borderId="0" fillId="0" fontId="4" numFmtId="165" xfId="0" applyFont="1" applyNumberFormat="1"/>
    <xf borderId="1" fillId="0" fontId="4" numFmtId="0" xfId="0" applyAlignment="1" applyBorder="1" applyFont="1">
      <alignment horizontal="center" readingOrder="0"/>
    </xf>
    <xf borderId="1" fillId="0" fontId="4" numFmtId="164" xfId="0" applyAlignment="1" applyBorder="1" applyFont="1" applyNumberFormat="1">
      <alignment horizontal="center"/>
    </xf>
    <xf borderId="0" fillId="0" fontId="4" numFmtId="166" xfId="0" applyFont="1" applyNumberFormat="1"/>
    <xf borderId="1" fillId="0" fontId="4" numFmtId="167" xfId="0" applyAlignment="1" applyBorder="1" applyFont="1" applyNumberFormat="1">
      <alignment horizontal="center"/>
    </xf>
    <xf borderId="5" fillId="0" fontId="2" numFmtId="0" xfId="0" applyAlignment="1" applyBorder="1" applyFont="1">
      <alignment readingOrder="0"/>
    </xf>
    <xf borderId="6" fillId="3" fontId="4" numFmtId="3" xfId="0" applyAlignment="1" applyBorder="1" applyFont="1" applyNumberFormat="1">
      <alignment readingOrder="0"/>
    </xf>
    <xf borderId="7" fillId="0" fontId="2" numFmtId="0" xfId="0" applyAlignment="1" applyBorder="1" applyFont="1">
      <alignment readingOrder="0"/>
    </xf>
    <xf borderId="8" fillId="3" fontId="4" numFmtId="9" xfId="0" applyAlignment="1" applyBorder="1" applyFont="1" applyNumberFormat="1">
      <alignment readingOrder="0"/>
    </xf>
    <xf borderId="9" fillId="0" fontId="2" numFmtId="0" xfId="0" applyAlignment="1" applyBorder="1" applyFont="1">
      <alignment readingOrder="0"/>
    </xf>
    <xf borderId="10" fillId="3" fontId="4" numFmtId="9" xfId="0" applyAlignment="1" applyBorder="1" applyFont="1" applyNumberFormat="1">
      <alignment readingOrder="0"/>
    </xf>
    <xf borderId="2" fillId="0" fontId="2" numFmtId="0" xfId="0" applyAlignment="1" applyBorder="1" applyFont="1">
      <alignment readingOrder="0"/>
    </xf>
    <xf borderId="3" fillId="0" fontId="2" numFmtId="0" xfId="0" applyAlignment="1" applyBorder="1" applyFont="1">
      <alignment horizontal="center" readingOrder="0"/>
    </xf>
    <xf borderId="4" fillId="0" fontId="2" numFmtId="0" xfId="0" applyAlignment="1" applyBorder="1" applyFont="1">
      <alignment horizontal="center" readingOrder="0"/>
    </xf>
    <xf borderId="7" fillId="0" fontId="2" numFmtId="0" xfId="0" applyAlignment="1" applyBorder="1" applyFont="1">
      <alignment readingOrder="0" shrinkToFit="0" wrapText="1"/>
    </xf>
    <xf borderId="0" fillId="3" fontId="4" numFmtId="10" xfId="0" applyAlignment="1" applyFont="1" applyNumberFormat="1">
      <alignment horizontal="center" readingOrder="0" vertical="center"/>
    </xf>
    <xf borderId="8" fillId="3" fontId="4" numFmtId="10" xfId="0" applyAlignment="1" applyBorder="1" applyFont="1" applyNumberFormat="1">
      <alignment horizontal="center" readingOrder="0" vertical="center"/>
    </xf>
    <xf borderId="11" fillId="3" fontId="4" numFmtId="10" xfId="0" applyAlignment="1" applyBorder="1" applyFont="1" applyNumberFormat="1">
      <alignment horizontal="center" readingOrder="0"/>
    </xf>
    <xf borderId="11" fillId="3" fontId="4" numFmtId="10" xfId="0" applyAlignment="1" applyBorder="1" applyFont="1" applyNumberFormat="1">
      <alignment horizontal="center"/>
    </xf>
    <xf borderId="10" fillId="3" fontId="4" numFmtId="10" xfId="0" applyAlignment="1" applyBorder="1" applyFont="1" applyNumberFormat="1">
      <alignment horizontal="center" readingOrder="0"/>
    </xf>
    <xf borderId="1" fillId="0" fontId="2" numFmtId="0" xfId="0" applyAlignment="1" applyBorder="1" applyFont="1">
      <alignment horizontal="center" readingOrder="0"/>
    </xf>
    <xf borderId="0" fillId="0" fontId="4" numFmtId="0" xfId="0" applyAlignment="1" applyFont="1">
      <alignment readingOrder="0" shrinkToFit="0" wrapText="1"/>
    </xf>
    <xf borderId="0" fillId="0" fontId="4" numFmtId="3" xfId="0" applyAlignment="1" applyFont="1" applyNumberFormat="1">
      <alignment horizontal="center" readingOrder="0" vertical="center"/>
    </xf>
    <xf borderId="8" fillId="0" fontId="4" numFmtId="3" xfId="0" applyAlignment="1" applyBorder="1" applyFont="1" applyNumberFormat="1">
      <alignment horizontal="center" readingOrder="0" vertical="center"/>
    </xf>
    <xf borderId="8" fillId="0" fontId="4" numFmtId="3" xfId="0" applyAlignment="1" applyBorder="1" applyFont="1" applyNumberFormat="1">
      <alignment horizontal="center"/>
    </xf>
    <xf borderId="0" fillId="0" fontId="4" numFmtId="3" xfId="0" applyAlignment="1" applyFont="1" applyNumberFormat="1">
      <alignment horizontal="center" vertical="center"/>
    </xf>
    <xf borderId="8" fillId="0" fontId="4" numFmtId="3" xfId="0" applyAlignment="1" applyBorder="1" applyFont="1" applyNumberFormat="1">
      <alignment horizontal="center" vertical="center"/>
    </xf>
    <xf borderId="3" fillId="0" fontId="2" numFmtId="0" xfId="0" applyBorder="1" applyFont="1"/>
    <xf borderId="4" fillId="0" fontId="2" numFmtId="0" xfId="0" applyBorder="1" applyFont="1"/>
    <xf borderId="4" fillId="0" fontId="2" numFmtId="0" xfId="0" applyAlignment="1" applyBorder="1" applyFont="1">
      <alignment horizontal="center"/>
    </xf>
    <xf borderId="0" fillId="0" fontId="4" numFmtId="4" xfId="0" applyFont="1" applyNumberFormat="1"/>
    <xf borderId="0" fillId="0" fontId="4" numFmtId="10" xfId="0" applyFont="1" applyNumberFormat="1"/>
    <xf borderId="7" fillId="0" fontId="4" numFmtId="0" xfId="0" applyAlignment="1" applyBorder="1" applyFont="1">
      <alignment readingOrder="0" shrinkToFit="0" wrapText="1"/>
    </xf>
    <xf borderId="0" fillId="0" fontId="4" numFmtId="3" xfId="0" applyAlignment="1" applyFont="1" applyNumberFormat="1">
      <alignment horizontal="center"/>
    </xf>
    <xf borderId="12" fillId="0" fontId="4" numFmtId="3" xfId="0" applyAlignment="1" applyBorder="1" applyFont="1" applyNumberFormat="1">
      <alignment horizontal="center"/>
    </xf>
    <xf borderId="7" fillId="0" fontId="4" numFmtId="0" xfId="0" applyAlignment="1" applyBorder="1" applyFont="1">
      <alignment readingOrder="0"/>
    </xf>
    <xf borderId="12" fillId="0" fontId="4" numFmtId="0" xfId="0" applyAlignment="1" applyBorder="1" applyFont="1">
      <alignment horizontal="center"/>
    </xf>
    <xf borderId="12" fillId="0" fontId="4" numFmtId="0" xfId="0" applyBorder="1" applyFont="1"/>
    <xf borderId="5" fillId="0" fontId="4" numFmtId="0" xfId="0" applyAlignment="1" applyBorder="1" applyFont="1">
      <alignment readingOrder="0" shrinkToFit="0" wrapText="1"/>
    </xf>
    <xf borderId="13" fillId="0" fontId="4" numFmtId="3" xfId="0" applyAlignment="1" applyBorder="1" applyFont="1" applyNumberFormat="1">
      <alignment horizontal="center"/>
    </xf>
    <xf borderId="6" fillId="0" fontId="4" numFmtId="3" xfId="0" applyAlignment="1" applyBorder="1" applyFont="1" applyNumberFormat="1">
      <alignment horizontal="center"/>
    </xf>
    <xf borderId="14" fillId="0" fontId="4" numFmtId="3" xfId="0" applyAlignment="1" applyBorder="1" applyFont="1" applyNumberFormat="1">
      <alignment horizontal="center" vertical="center"/>
    </xf>
    <xf borderId="9" fillId="0" fontId="4" numFmtId="0" xfId="0" applyAlignment="1" applyBorder="1" applyFont="1">
      <alignment readingOrder="0"/>
    </xf>
    <xf borderId="11" fillId="0" fontId="4" numFmtId="3" xfId="0" applyAlignment="1" applyBorder="1" applyFont="1" applyNumberFormat="1">
      <alignment horizontal="center"/>
    </xf>
    <xf borderId="10" fillId="0" fontId="4" numFmtId="3" xfId="0" applyAlignment="1" applyBorder="1" applyFont="1" applyNumberFormat="1">
      <alignment horizontal="center"/>
    </xf>
    <xf borderId="15" fillId="0" fontId="5" numFmtId="0" xfId="0" applyBorder="1" applyFont="1"/>
    <xf borderId="0" fillId="0" fontId="4" numFmtId="0" xfId="0" applyAlignment="1" applyFont="1">
      <alignment horizontal="center"/>
    </xf>
    <xf borderId="8" fillId="0" fontId="4" numFmtId="0" xfId="0" applyAlignment="1" applyBorder="1" applyFont="1">
      <alignment horizontal="center"/>
    </xf>
    <xf borderId="8" fillId="0" fontId="4" numFmtId="0" xfId="0" applyBorder="1" applyFont="1"/>
    <xf borderId="10" fillId="0" fontId="4" numFmtId="0" xfId="0" applyBorder="1" applyFont="1"/>
    <xf borderId="0" fillId="0" fontId="4" numFmtId="3" xfId="0" applyFont="1" applyNumberFormat="1"/>
    <xf borderId="0" fillId="0" fontId="6" numFmtId="0" xfId="0" applyAlignment="1" applyFont="1">
      <alignment readingOrder="0" shrinkToFit="0" vertical="bottom" wrapText="0"/>
    </xf>
    <xf borderId="0" fillId="0" fontId="6" numFmtId="3" xfId="0" applyAlignment="1" applyFont="1" applyNumberFormat="1">
      <alignment horizontal="right" readingOrder="0" shrinkToFit="0" vertical="bottom" wrapText="0"/>
    </xf>
    <xf borderId="0" fillId="0" fontId="6" numFmtId="0" xfId="0" applyAlignment="1" applyFont="1">
      <alignment shrinkToFit="0" vertical="bottom" wrapText="0"/>
    </xf>
    <xf borderId="5" fillId="0" fontId="6" numFmtId="0" xfId="0" applyAlignment="1" applyBorder="1" applyFont="1">
      <alignment readingOrder="0" shrinkToFit="0" vertical="bottom" wrapText="0"/>
    </xf>
    <xf borderId="6" fillId="0" fontId="6" numFmtId="3" xfId="0" applyAlignment="1" applyBorder="1" applyFont="1" applyNumberFormat="1">
      <alignment horizontal="right" readingOrder="0" shrinkToFit="0" vertical="bottom" wrapText="0"/>
    </xf>
    <xf borderId="7" fillId="0" fontId="6" numFmtId="0" xfId="0" applyAlignment="1" applyBorder="1" applyFont="1">
      <alignment readingOrder="0" shrinkToFit="0" vertical="bottom" wrapText="0"/>
    </xf>
    <xf borderId="8" fillId="0" fontId="4" numFmtId="10" xfId="0" applyAlignment="1" applyBorder="1" applyFont="1" applyNumberFormat="1">
      <alignment readingOrder="0"/>
    </xf>
    <xf borderId="0" fillId="0" fontId="6" numFmtId="0" xfId="0" applyAlignment="1" applyFont="1">
      <alignment readingOrder="0" shrinkToFit="0" vertical="bottom" wrapText="0"/>
    </xf>
    <xf borderId="0" fillId="0" fontId="4" numFmtId="10" xfId="0" applyAlignment="1" applyFont="1" applyNumberFormat="1">
      <alignment readingOrder="0"/>
    </xf>
    <xf borderId="9" fillId="0" fontId="6" numFmtId="0" xfId="0" applyAlignment="1" applyBorder="1" applyFont="1">
      <alignment readingOrder="0" shrinkToFit="0" vertical="bottom" wrapText="1"/>
    </xf>
    <xf borderId="10" fillId="0" fontId="4" numFmtId="10" xfId="0" applyAlignment="1" applyBorder="1" applyFont="1" applyNumberFormat="1">
      <alignment readingOrder="0"/>
    </xf>
    <xf borderId="0" fillId="0" fontId="6" numFmtId="10" xfId="0" applyAlignment="1" applyFont="1" applyNumberFormat="1">
      <alignment shrinkToFit="0" vertical="bottom" wrapText="0"/>
    </xf>
    <xf borderId="0" fillId="0" fontId="6" numFmtId="10" xfId="0" applyAlignment="1" applyFont="1" applyNumberFormat="1">
      <alignment readingOrder="0" shrinkToFit="0" vertical="bottom" wrapText="0"/>
    </xf>
    <xf borderId="0" fillId="0" fontId="2" numFmtId="0" xfId="0" applyAlignment="1" applyFont="1">
      <alignment readingOrder="0"/>
    </xf>
    <xf borderId="13" fillId="0" fontId="2" numFmtId="0" xfId="0" applyAlignment="1" applyBorder="1" applyFont="1">
      <alignment horizontal="center" readingOrder="0"/>
    </xf>
    <xf borderId="6" fillId="0" fontId="2" numFmtId="0" xfId="0" applyAlignment="1" applyBorder="1" applyFont="1">
      <alignment horizontal="center" readingOrder="0"/>
    </xf>
    <xf borderId="0" fillId="0" fontId="6" numFmtId="9" xfId="0" applyAlignment="1" applyFont="1" applyNumberFormat="1">
      <alignment horizontal="right" readingOrder="0" shrinkToFit="0" vertical="bottom" wrapText="0"/>
    </xf>
    <xf borderId="0" fillId="0" fontId="7" numFmtId="0" xfId="0" applyAlignment="1" applyFont="1">
      <alignment vertical="bottom"/>
    </xf>
    <xf borderId="7" fillId="0" fontId="7" numFmtId="0" xfId="0" applyAlignment="1" applyBorder="1" applyFont="1">
      <alignment vertical="bottom"/>
    </xf>
    <xf borderId="0" fillId="0" fontId="8" numFmtId="0" xfId="0" applyAlignment="1" applyFont="1">
      <alignment vertical="bottom"/>
    </xf>
    <xf borderId="7" fillId="0" fontId="7" numFmtId="0" xfId="0" applyAlignment="1" applyBorder="1" applyFont="1">
      <alignment shrinkToFit="0" vertical="bottom" wrapText="1"/>
    </xf>
    <xf borderId="0" fillId="0" fontId="2" numFmtId="10" xfId="0" applyAlignment="1" applyFont="1" applyNumberFormat="1">
      <alignment readingOrder="0"/>
    </xf>
    <xf borderId="0" fillId="0" fontId="2" numFmtId="10" xfId="0" applyFont="1" applyNumberFormat="1"/>
    <xf borderId="8" fillId="0" fontId="2" numFmtId="10" xfId="0" applyBorder="1" applyFont="1" applyNumberFormat="1"/>
    <xf borderId="0" fillId="0" fontId="2" numFmtId="3" xfId="0" applyFont="1" applyNumberFormat="1"/>
    <xf borderId="7" fillId="0" fontId="8" numFmtId="0" xfId="0" applyAlignment="1" applyBorder="1" applyFont="1">
      <alignment vertical="bottom"/>
    </xf>
    <xf borderId="8" fillId="0" fontId="4" numFmtId="3" xfId="0" applyBorder="1" applyFont="1" applyNumberFormat="1"/>
    <xf borderId="0" fillId="0" fontId="8" numFmtId="0" xfId="0" applyAlignment="1" applyFont="1">
      <alignment vertical="bottom"/>
    </xf>
    <xf borderId="7" fillId="0" fontId="8" numFmtId="0" xfId="0" applyAlignment="1" applyBorder="1" applyFont="1">
      <alignment shrinkToFit="0" wrapText="1"/>
    </xf>
    <xf borderId="0" fillId="0" fontId="9" numFmtId="0" xfId="0" applyAlignment="1" applyFont="1">
      <alignment vertical="bottom"/>
    </xf>
    <xf borderId="7" fillId="0" fontId="9" numFmtId="0" xfId="0" applyAlignment="1" applyBorder="1" applyFont="1">
      <alignment vertical="bottom"/>
    </xf>
    <xf borderId="0" fillId="0" fontId="4" numFmtId="164" xfId="0" applyFont="1" applyNumberFormat="1"/>
    <xf borderId="8" fillId="0" fontId="4" numFmtId="164" xfId="0" applyBorder="1" applyFont="1" applyNumberFormat="1"/>
    <xf borderId="8" fillId="0" fontId="6" numFmtId="3" xfId="0" applyAlignment="1" applyBorder="1" applyFont="1" applyNumberFormat="1">
      <alignment horizontal="right" readingOrder="0" shrinkToFit="0" vertical="bottom" wrapText="0"/>
    </xf>
    <xf borderId="0" fillId="0" fontId="9" numFmtId="0" xfId="0" applyAlignment="1" applyFont="1">
      <alignment vertical="bottom"/>
    </xf>
    <xf borderId="7" fillId="0" fontId="9" numFmtId="0" xfId="0" applyAlignment="1" applyBorder="1" applyFont="1">
      <alignment vertical="bottom"/>
    </xf>
    <xf borderId="0" fillId="0" fontId="6" numFmtId="164" xfId="0" applyAlignment="1" applyFont="1" applyNumberFormat="1">
      <alignment horizontal="right" readingOrder="0" shrinkToFit="0" vertical="bottom" wrapText="0"/>
    </xf>
    <xf borderId="8" fillId="0" fontId="6" numFmtId="164" xfId="0" applyAlignment="1" applyBorder="1" applyFont="1" applyNumberFormat="1">
      <alignment horizontal="right" readingOrder="0" shrinkToFit="0" vertical="bottom" wrapText="0"/>
    </xf>
    <xf borderId="0" fillId="0" fontId="4" numFmtId="3" xfId="0" applyAlignment="1" applyFont="1" applyNumberFormat="1">
      <alignment readingOrder="0"/>
    </xf>
    <xf borderId="7" fillId="0" fontId="10" numFmtId="0" xfId="0" applyAlignment="1" applyBorder="1" applyFont="1">
      <alignment vertical="bottom"/>
    </xf>
    <xf borderId="0" fillId="0" fontId="4" numFmtId="167" xfId="0" applyFont="1" applyNumberFormat="1"/>
    <xf borderId="8" fillId="0" fontId="4" numFmtId="167" xfId="0" applyBorder="1" applyFont="1" applyNumberFormat="1"/>
    <xf borderId="0" fillId="0" fontId="10" numFmtId="0" xfId="0" applyAlignment="1" applyFont="1">
      <alignment vertical="bottom"/>
    </xf>
    <xf borderId="7" fillId="0" fontId="10" numFmtId="0" xfId="0" applyAlignment="1" applyBorder="1" applyFont="1">
      <alignment shrinkToFit="0" vertical="bottom" wrapText="1"/>
    </xf>
    <xf borderId="0" fillId="0" fontId="11" numFmtId="0" xfId="0" applyFont="1"/>
    <xf borderId="0" fillId="0" fontId="11" numFmtId="4" xfId="0" applyFont="1" applyNumberFormat="1"/>
    <xf borderId="8" fillId="0" fontId="11" numFmtId="4" xfId="0" applyBorder="1" applyFont="1" applyNumberFormat="1"/>
    <xf borderId="0" fillId="0" fontId="4" numFmtId="0" xfId="0" applyAlignment="1" applyFont="1">
      <alignment readingOrder="0"/>
    </xf>
    <xf borderId="0" fillId="0" fontId="4" numFmtId="0" xfId="0" applyFont="1"/>
    <xf borderId="7" fillId="0" fontId="4" numFmtId="0" xfId="0" applyBorder="1" applyFont="1"/>
    <xf borderId="7" fillId="0" fontId="4" numFmtId="0" xfId="0" applyBorder="1" applyFont="1"/>
    <xf borderId="8" fillId="0" fontId="4" numFmtId="4" xfId="0" applyBorder="1" applyFont="1" applyNumberFormat="1"/>
    <xf borderId="11" fillId="0" fontId="4" numFmtId="167" xfId="0" applyAlignment="1" applyBorder="1" applyFont="1" applyNumberFormat="1">
      <alignment horizontal="center"/>
    </xf>
    <xf borderId="10" fillId="0" fontId="4" numFmtId="167" xfId="0" applyAlignment="1" applyBorder="1" applyFont="1" applyNumberFormat="1">
      <alignment horizontal="center"/>
    </xf>
    <xf borderId="0" fillId="0" fontId="4" numFmtId="9" xfId="0" applyFont="1" applyNumberFormat="1"/>
    <xf borderId="0" fillId="0" fontId="9" numFmtId="3" xfId="0" applyAlignment="1" applyFont="1" applyNumberFormat="1">
      <alignment horizontal="right" vertical="bottom"/>
    </xf>
    <xf borderId="0" fillId="0" fontId="9" numFmtId="10" xfId="0" applyAlignment="1" applyFont="1" applyNumberFormat="1">
      <alignment horizontal="right" vertical="bottom"/>
    </xf>
    <xf borderId="0" fillId="0" fontId="12" numFmtId="0" xfId="0" applyAlignment="1" applyFont="1">
      <alignment vertical="bottom"/>
    </xf>
    <xf borderId="0" fillId="0" fontId="12" numFmtId="3" xfId="0" applyAlignment="1" applyFont="1" applyNumberFormat="1">
      <alignment horizontal="right" vertical="bottom"/>
    </xf>
    <xf borderId="8" fillId="0" fontId="2" numFmtId="3" xfId="0" applyBorder="1" applyFont="1" applyNumberFormat="1"/>
    <xf borderId="0" fillId="0" fontId="7" numFmtId="0" xfId="0" applyAlignment="1" applyFont="1">
      <alignment horizontal="center" vertical="bottom"/>
    </xf>
    <xf borderId="0" fillId="0" fontId="8" numFmtId="0" xfId="0" applyAlignment="1" applyFont="1">
      <alignment horizontal="center" vertical="bottom"/>
    </xf>
    <xf borderId="8" fillId="0" fontId="2" numFmtId="10" xfId="0" applyAlignment="1" applyBorder="1" applyFont="1" applyNumberFormat="1">
      <alignment readingOrder="0"/>
    </xf>
    <xf borderId="7" fillId="0" fontId="7" numFmtId="0" xfId="0" applyAlignment="1" applyBorder="1" applyFont="1">
      <alignment readingOrder="0" shrinkToFit="0" vertical="bottom" wrapText="1"/>
    </xf>
    <xf borderId="7" fillId="0" fontId="8" numFmtId="0" xfId="0" applyAlignment="1" applyBorder="1" applyFont="1">
      <alignment readingOrder="0" vertical="bottom"/>
    </xf>
    <xf borderId="0" fillId="0" fontId="8" numFmtId="0" xfId="0" applyAlignment="1" applyFont="1">
      <alignment horizontal="center" vertical="bottom"/>
    </xf>
    <xf borderId="0" fillId="0" fontId="9" numFmtId="0" xfId="0" applyAlignment="1" applyFont="1">
      <alignment horizontal="center" vertical="bottom"/>
    </xf>
    <xf borderId="0" fillId="0" fontId="9" numFmtId="0" xfId="0" applyAlignment="1" applyFont="1">
      <alignment horizontal="center" readingOrder="0" vertical="bottom"/>
    </xf>
    <xf borderId="0" fillId="0" fontId="8" numFmtId="0" xfId="0" applyAlignment="1" applyFont="1">
      <alignment horizontal="center" readingOrder="0" vertical="bottom"/>
    </xf>
    <xf borderId="0" fillId="0" fontId="9" numFmtId="0" xfId="0" applyAlignment="1" applyFont="1">
      <alignment horizontal="center" vertical="bottom"/>
    </xf>
    <xf borderId="7" fillId="0" fontId="10" numFmtId="0" xfId="0" applyAlignment="1" applyBorder="1" applyFont="1">
      <alignment readingOrder="0" vertical="bottom"/>
    </xf>
    <xf borderId="0" fillId="0" fontId="10" numFmtId="0" xfId="0" applyAlignment="1" applyFont="1">
      <alignment horizontal="center" readingOrder="0" vertical="bottom"/>
    </xf>
    <xf borderId="7" fillId="0" fontId="10" numFmtId="0" xfId="0" applyAlignment="1" applyBorder="1" applyFont="1">
      <alignment readingOrder="0" shrinkToFit="0" vertical="bottom" wrapText="1"/>
    </xf>
    <xf borderId="0" fillId="0" fontId="4" numFmtId="167" xfId="0" applyAlignment="1" applyFont="1" applyNumberFormat="1">
      <alignment readingOrder="0"/>
    </xf>
    <xf borderId="8" fillId="0" fontId="4" numFmtId="167" xfId="0" applyAlignment="1" applyBorder="1" applyFont="1" applyNumberFormat="1">
      <alignment readingOrder="0"/>
    </xf>
    <xf borderId="0" fillId="0" fontId="4" numFmtId="9" xfId="0" applyAlignment="1" applyFont="1" applyNumberFormat="1">
      <alignment readingOrder="0"/>
    </xf>
    <xf borderId="8" fillId="0" fontId="4" numFmtId="9" xfId="0" applyAlignment="1" applyBorder="1" applyFont="1" applyNumberFormat="1">
      <alignment readingOrder="0"/>
    </xf>
    <xf borderId="0" fillId="5" fontId="8" numFmtId="0" xfId="0" applyAlignment="1" applyFill="1" applyFont="1">
      <alignment horizontal="center" readingOrder="0" vertical="bottom"/>
    </xf>
    <xf borderId="7" fillId="5" fontId="8" numFmtId="0" xfId="0" applyAlignment="1" applyBorder="1" applyFont="1">
      <alignment readingOrder="0" vertical="bottom"/>
    </xf>
    <xf borderId="0" fillId="5" fontId="4" numFmtId="9" xfId="0" applyAlignment="1" applyFont="1" applyNumberFormat="1">
      <alignment readingOrder="0"/>
    </xf>
    <xf borderId="8" fillId="5" fontId="4" numFmtId="9" xfId="0" applyAlignment="1" applyBorder="1" applyFont="1" applyNumberFormat="1">
      <alignment readingOrder="0"/>
    </xf>
    <xf borderId="8" fillId="6" fontId="8" numFmtId="0" xfId="0" applyAlignment="1" applyBorder="1" applyFill="1" applyFont="1">
      <alignment horizontal="center" readingOrder="0" vertical="bottom"/>
    </xf>
    <xf borderId="7" fillId="6" fontId="8" numFmtId="0" xfId="0" applyAlignment="1" applyBorder="1" applyFont="1">
      <alignment readingOrder="0" vertical="bottom"/>
    </xf>
    <xf borderId="0" fillId="6" fontId="11" numFmtId="167" xfId="0" applyFont="1" applyNumberFormat="1"/>
    <xf borderId="8" fillId="6" fontId="11" numFmtId="167" xfId="0" applyBorder="1" applyFont="1" applyNumberFormat="1"/>
    <xf borderId="8" fillId="0" fontId="9" numFmtId="0" xfId="0" applyAlignment="1" applyBorder="1" applyFont="1">
      <alignment horizontal="center" vertical="bottom"/>
    </xf>
    <xf borderId="8" fillId="0" fontId="11" numFmtId="0" xfId="0" applyBorder="1" applyFont="1"/>
    <xf borderId="8" fillId="0" fontId="8" numFmtId="0" xfId="0" applyAlignment="1" applyBorder="1" applyFont="1">
      <alignment horizontal="center" readingOrder="0" vertical="bottom"/>
    </xf>
    <xf borderId="0" fillId="0" fontId="11" numFmtId="10" xfId="0" applyFont="1" applyNumberFormat="1"/>
    <xf borderId="8" fillId="0" fontId="11" numFmtId="10" xfId="0" applyBorder="1" applyFont="1" applyNumberFormat="1"/>
    <xf borderId="8" fillId="0" fontId="10" numFmtId="0" xfId="0" applyAlignment="1" applyBorder="1" applyFont="1">
      <alignment horizontal="center" readingOrder="0" vertical="bottom"/>
    </xf>
    <xf borderId="7" fillId="7" fontId="10" numFmtId="0" xfId="0" applyAlignment="1" applyBorder="1" applyFill="1" applyFont="1">
      <alignment readingOrder="0" vertical="bottom"/>
    </xf>
    <xf borderId="0" fillId="7" fontId="2" numFmtId="3" xfId="0" applyFont="1" applyNumberFormat="1"/>
    <xf borderId="8" fillId="7" fontId="2" numFmtId="3" xfId="0" applyBorder="1" applyFont="1" applyNumberFormat="1"/>
    <xf borderId="7" fillId="7" fontId="9" numFmtId="0" xfId="0" applyAlignment="1" applyBorder="1" applyFont="1">
      <alignment vertical="bottom"/>
    </xf>
    <xf borderId="0" fillId="7" fontId="4" numFmtId="3" xfId="0" applyFont="1" applyNumberFormat="1"/>
    <xf borderId="8" fillId="7" fontId="4" numFmtId="3" xfId="0" applyBorder="1" applyFont="1" applyNumberFormat="1"/>
    <xf borderId="0" fillId="7" fontId="1" numFmtId="3" xfId="0" applyAlignment="1" applyFont="1" applyNumberFormat="1">
      <alignment horizontal="right" readingOrder="0" shrinkToFit="0" vertical="bottom" wrapText="0"/>
    </xf>
    <xf borderId="8" fillId="7" fontId="1" numFmtId="3" xfId="0" applyAlignment="1" applyBorder="1" applyFont="1" applyNumberFormat="1">
      <alignment horizontal="right" readingOrder="0" shrinkToFit="0" vertical="bottom" wrapText="0"/>
    </xf>
    <xf borderId="7" fillId="0" fontId="9" numFmtId="0" xfId="0" applyAlignment="1" applyBorder="1" applyFont="1">
      <alignment readingOrder="0" vertical="bottom"/>
    </xf>
    <xf borderId="9" fillId="0" fontId="7" numFmtId="0" xfId="0" applyAlignment="1" applyBorder="1" applyFont="1">
      <alignment readingOrder="0" vertical="bottom"/>
    </xf>
    <xf borderId="11" fillId="0" fontId="2" numFmtId="10" xfId="0" applyBorder="1" applyFont="1" applyNumberFormat="1"/>
    <xf borderId="10" fillId="0" fontId="2" numFmtId="10" xfId="0" applyBorder="1" applyFont="1" applyNumberFormat="1"/>
    <xf borderId="0" fillId="0" fontId="7" numFmtId="0" xfId="0" applyAlignment="1" applyFont="1">
      <alignment readingOrder="0"/>
    </xf>
    <xf borderId="1" fillId="0" fontId="13" numFmtId="0" xfId="0" applyAlignment="1" applyBorder="1" applyFont="1">
      <alignment horizontal="center" readingOrder="0" shrinkToFit="0" wrapText="0"/>
    </xf>
    <xf borderId="3" fillId="0" fontId="14" numFmtId="0" xfId="0" applyAlignment="1" applyBorder="1" applyFont="1">
      <alignment readingOrder="0"/>
    </xf>
    <xf borderId="15" fillId="0" fontId="13" numFmtId="0" xfId="0" applyAlignment="1" applyBorder="1" applyFont="1">
      <alignment horizontal="center" readingOrder="0" shrinkToFit="0" wrapText="0"/>
    </xf>
    <xf borderId="3" fillId="0" fontId="14" numFmtId="0" xfId="0" applyAlignment="1" applyBorder="1" applyFont="1">
      <alignment readingOrder="0" shrinkToFit="0" wrapText="0"/>
    </xf>
    <xf borderId="3" fillId="8" fontId="14" numFmtId="0" xfId="0" applyAlignment="1" applyBorder="1" applyFill="1" applyFont="1">
      <alignment readingOrder="0"/>
    </xf>
    <xf borderId="0" fillId="0" fontId="9" numFmtId="0" xfId="0" applyAlignment="1" applyFont="1">
      <alignment horizontal="right" readingOrder="0" vertical="bottom"/>
    </xf>
    <xf borderId="0" fillId="0" fontId="9" numFmtId="3" xfId="0" applyAlignment="1" applyFont="1" applyNumberFormat="1">
      <alignment horizontal="right" readingOrder="0" vertical="bottom"/>
    </xf>
    <xf borderId="0" fillId="0" fontId="9" numFmtId="4" xfId="0" applyAlignment="1" applyFont="1" applyNumberFormat="1">
      <alignment horizontal="right" readingOrder="0" vertical="bottom"/>
    </xf>
    <xf borderId="0" fillId="0" fontId="12" numFmtId="3" xfId="0" applyAlignment="1" applyFont="1" applyNumberFormat="1">
      <alignment horizontal="right" readingOrder="0" vertical="bottom"/>
    </xf>
    <xf borderId="7" fillId="0" fontId="8" numFmtId="0" xfId="0" applyAlignment="1" applyBorder="1" applyFont="1">
      <alignment readingOrder="0" shrinkToFit="0" wrapText="1"/>
    </xf>
    <xf borderId="1" fillId="0" fontId="13" numFmtId="0" xfId="0" applyAlignment="1" applyBorder="1" applyFont="1">
      <alignment horizontal="center" readingOrder="0"/>
    </xf>
    <xf borderId="3" fillId="0" fontId="14" numFmtId="0" xfId="0" applyAlignment="1" applyBorder="1" applyFont="1">
      <alignment horizontal="left" readingOrder="0" shrinkToFit="0" wrapText="1"/>
    </xf>
    <xf borderId="0" fillId="0" fontId="14" numFmtId="0" xfId="0" applyAlignment="1" applyFont="1">
      <alignment horizontal="left" readingOrder="0" shrinkToFit="0" wrapText="1"/>
    </xf>
    <xf borderId="15" fillId="0" fontId="13" numFmtId="0" xfId="0" applyAlignment="1" applyBorder="1" applyFont="1">
      <alignment horizontal="center" readingOrder="0"/>
    </xf>
    <xf borderId="2" fillId="8" fontId="14" numFmtId="0" xfId="0" applyAlignment="1" applyBorder="1" applyFont="1">
      <alignment horizontal="left" readingOrder="0" shrinkToFit="0" wrapText="1"/>
    </xf>
    <xf borderId="0" fillId="8" fontId="14" numFmtId="0" xfId="0" applyAlignment="1" applyFont="1">
      <alignment horizontal="left" readingOrder="0" shrinkToFit="0" wrapText="1"/>
    </xf>
    <xf borderId="2" fillId="0" fontId="14" numFmtId="0" xfId="0" applyAlignment="1" applyBorder="1" applyFont="1">
      <alignment readingOrder="0" shrinkToFit="0" wrapText="1"/>
    </xf>
    <xf borderId="0" fillId="0" fontId="1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8.13"/>
    <col customWidth="1" min="2" max="2" width="15.13"/>
    <col customWidth="1" min="3" max="3" width="12.5"/>
    <col customWidth="1" min="4" max="4" width="12.25"/>
    <col customWidth="1" min="5" max="5" width="15.5"/>
    <col customWidth="1" min="6" max="6" width="10.13"/>
  </cols>
  <sheetData>
    <row r="1">
      <c r="A1" s="1" t="s">
        <v>0</v>
      </c>
    </row>
    <row r="3">
      <c r="A3" s="2" t="s">
        <v>1</v>
      </c>
    </row>
    <row r="5">
      <c r="A5" s="3" t="s">
        <v>2</v>
      </c>
    </row>
    <row r="6">
      <c r="A6" s="4" t="s">
        <v>3</v>
      </c>
      <c r="B6" s="5" t="s">
        <v>4</v>
      </c>
      <c r="C6" s="6"/>
      <c r="D6" s="6"/>
      <c r="E6" s="6"/>
      <c r="F6" s="6"/>
      <c r="G6" s="6"/>
      <c r="H6" s="6"/>
      <c r="I6" s="7"/>
    </row>
    <row r="7">
      <c r="A7" s="4" t="s">
        <v>5</v>
      </c>
      <c r="B7" s="5" t="s">
        <v>6</v>
      </c>
      <c r="C7" s="6"/>
      <c r="D7" s="6"/>
      <c r="E7" s="6"/>
      <c r="F7" s="6"/>
      <c r="G7" s="6"/>
      <c r="H7" s="6"/>
      <c r="I7" s="7"/>
    </row>
    <row r="8">
      <c r="A8" s="4" t="s">
        <v>7</v>
      </c>
      <c r="B8" s="5" t="s">
        <v>8</v>
      </c>
      <c r="C8" s="6"/>
      <c r="D8" s="6"/>
      <c r="E8" s="6"/>
      <c r="F8" s="6"/>
      <c r="G8" s="6"/>
      <c r="H8" s="6"/>
      <c r="I8" s="7"/>
    </row>
    <row r="9">
      <c r="A9" s="4" t="s">
        <v>9</v>
      </c>
      <c r="B9" s="5" t="s">
        <v>10</v>
      </c>
      <c r="C9" s="6"/>
      <c r="D9" s="6"/>
      <c r="E9" s="6"/>
      <c r="F9" s="6"/>
      <c r="G9" s="6"/>
      <c r="H9" s="6"/>
      <c r="I9" s="7"/>
    </row>
    <row r="12">
      <c r="A12" s="8" t="s">
        <v>11</v>
      </c>
      <c r="B12" s="9" t="s">
        <v>12</v>
      </c>
      <c r="C12" s="9" t="s">
        <v>13</v>
      </c>
      <c r="D12" s="9" t="s">
        <v>14</v>
      </c>
      <c r="E12" s="9" t="s">
        <v>15</v>
      </c>
    </row>
    <row r="13">
      <c r="A13" s="10" t="s">
        <v>16</v>
      </c>
      <c r="B13" s="11">
        <f t="shared" ref="B13:E13" si="1">B14+B15</f>
        <v>35.01562795</v>
      </c>
      <c r="C13" s="11">
        <f t="shared" si="1"/>
        <v>32.32258164</v>
      </c>
      <c r="D13" s="11">
        <f t="shared" si="1"/>
        <v>27.64183298</v>
      </c>
      <c r="E13" s="11">
        <f t="shared" si="1"/>
        <v>27.30935179</v>
      </c>
      <c r="F13" s="12"/>
    </row>
    <row r="14">
      <c r="A14" s="13" t="s">
        <v>17</v>
      </c>
      <c r="B14" s="14">
        <f>SUM('A typical Industry practiceNo H'!C29:G29)/10^5</f>
        <v>7.172516463</v>
      </c>
      <c r="C14" s="14">
        <f>SUM('Another Industry practice No Gr'!C29:G29)/10^5</f>
        <v>7.20862895</v>
      </c>
      <c r="D14" s="14">
        <f>SUM('Performance Fee - Sameeksha Pre'!C29:G29)/10^5</f>
        <v>7.347281834</v>
      </c>
      <c r="E14" s="14">
        <f>SUM('Perf Fee - Sameeksha Current Me'!C29:G29)/10^5</f>
        <v>7.388532592</v>
      </c>
      <c r="F14" s="12"/>
    </row>
    <row r="15">
      <c r="A15" s="13" t="s">
        <v>18</v>
      </c>
      <c r="B15" s="14">
        <f>SUM('A typical Industry practiceNo H'!C40:G40)/10^5</f>
        <v>27.84311149</v>
      </c>
      <c r="C15" s="14">
        <f>SUM('Another Industry practice No Gr'!C40:G40)/10^5</f>
        <v>25.11395269</v>
      </c>
      <c r="D15" s="14">
        <f>SUM('Performance Fee - Sameeksha Pre'!C40:G40)/10^5</f>
        <v>20.29455114</v>
      </c>
      <c r="E15" s="14">
        <f>SUM('Perf Fee - Sameeksha Current Me'!C50:G50,'Perf Fee - Sameeksha Current Me'!C52:G52)/10^5</f>
        <v>19.9208192</v>
      </c>
    </row>
    <row r="16">
      <c r="A16" s="10" t="s">
        <v>19</v>
      </c>
      <c r="B16" s="11">
        <f>'A typical Industry practiceNo H'!G42/10^5</f>
        <v>179.0699172</v>
      </c>
      <c r="C16" s="11">
        <f>'Another Industry practice No Gr'!G42/10^5</f>
        <v>182.3163879</v>
      </c>
      <c r="D16" s="11">
        <f>'Performance Fee - Sameeksha Pre'!G42/10^5</f>
        <v>189.315896</v>
      </c>
      <c r="E16" s="11">
        <f>'Perf Fee - Sameeksha Current Me'!G64/10^5</f>
        <v>190.0420653</v>
      </c>
      <c r="F16" s="15"/>
    </row>
    <row r="17">
      <c r="A17" s="10" t="s">
        <v>20</v>
      </c>
      <c r="B17" s="16">
        <f>'A typical Industry practiceNo H'!H42</f>
        <v>0.2906560624</v>
      </c>
      <c r="C17" s="16">
        <f>'Another Industry practice No Gr'!H42</f>
        <v>0.2953023121</v>
      </c>
      <c r="D17" s="16">
        <f>'Performance Fee - Sameeksha Pre'!H42</f>
        <v>0.3050988752</v>
      </c>
      <c r="E17" s="16">
        <f>'Perf Fee - Sameeksha Current Me'!H64</f>
        <v>0.3060985504</v>
      </c>
    </row>
    <row r="21">
      <c r="A21" s="17" t="s">
        <v>21</v>
      </c>
      <c r="B21" s="18">
        <v>5000000.0</v>
      </c>
    </row>
    <row r="22">
      <c r="A22" s="19" t="s">
        <v>22</v>
      </c>
      <c r="B22" s="20">
        <v>0.01</v>
      </c>
    </row>
    <row r="23">
      <c r="A23" s="19" t="s">
        <v>23</v>
      </c>
      <c r="B23" s="20">
        <v>0.1</v>
      </c>
    </row>
    <row r="24">
      <c r="A24" s="21" t="s">
        <v>24</v>
      </c>
      <c r="B24" s="22">
        <v>0.2</v>
      </c>
    </row>
    <row r="26">
      <c r="A26" s="23" t="s">
        <v>25</v>
      </c>
      <c r="B26" s="24" t="s">
        <v>26</v>
      </c>
      <c r="C26" s="24" t="s">
        <v>27</v>
      </c>
      <c r="D26" s="24" t="s">
        <v>28</v>
      </c>
      <c r="E26" s="24" t="s">
        <v>29</v>
      </c>
      <c r="F26" s="25" t="s">
        <v>30</v>
      </c>
    </row>
    <row r="27">
      <c r="A27" s="26" t="s">
        <v>31</v>
      </c>
      <c r="B27" s="27">
        <v>1.084</v>
      </c>
      <c r="C27" s="27">
        <v>0.281</v>
      </c>
      <c r="D27" s="27">
        <v>0.061</v>
      </c>
      <c r="E27" s="27">
        <v>0.4</v>
      </c>
      <c r="F27" s="28">
        <v>0.2</v>
      </c>
    </row>
    <row r="28">
      <c r="A28" s="21" t="s">
        <v>32</v>
      </c>
      <c r="B28" s="29">
        <v>0.7859999999999999</v>
      </c>
      <c r="C28" s="30">
        <v>0.223</v>
      </c>
      <c r="D28" s="29">
        <v>-0.009000000000000001</v>
      </c>
      <c r="E28" s="29">
        <v>0.402</v>
      </c>
      <c r="F28" s="31">
        <v>-0.013000000000000001</v>
      </c>
    </row>
    <row r="31">
      <c r="A31" s="23" t="s">
        <v>33</v>
      </c>
      <c r="B31" s="24" t="s">
        <v>26</v>
      </c>
      <c r="C31" s="24" t="s">
        <v>27</v>
      </c>
      <c r="D31" s="24" t="s">
        <v>28</v>
      </c>
      <c r="E31" s="24" t="s">
        <v>29</v>
      </c>
      <c r="F31" s="25" t="s">
        <v>30</v>
      </c>
      <c r="G31" s="32" t="s">
        <v>34</v>
      </c>
    </row>
    <row r="32">
      <c r="A32" s="33" t="s">
        <v>35</v>
      </c>
      <c r="B32" s="34">
        <f>'A typical Industry practiceNo H'!C29</f>
        <v>90868.8264</v>
      </c>
      <c r="C32" s="34">
        <f>'A typical Industry practiceNo H'!D29</f>
        <v>123427.3645</v>
      </c>
      <c r="D32" s="34">
        <f>'A typical Industry practiceNo H'!E29</f>
        <v>136835.1631</v>
      </c>
      <c r="E32" s="34">
        <f>'A typical Industry practiceNo H'!F29</f>
        <v>166929.8311</v>
      </c>
      <c r="F32" s="35">
        <f>'A typical Industry practiceNo H'!G29</f>
        <v>199190.4611</v>
      </c>
      <c r="G32" s="36">
        <f t="shared" ref="G32:G35" si="2">SUM(B32:F32)</f>
        <v>717251.6463</v>
      </c>
    </row>
    <row r="33">
      <c r="A33" s="33" t="s">
        <v>36</v>
      </c>
      <c r="B33" s="34">
        <f>'Another Industry practice No Gr'!C29</f>
        <v>90868.8264</v>
      </c>
      <c r="C33" s="34">
        <f>'Another Industry practice No Gr'!D29</f>
        <v>123427.3645</v>
      </c>
      <c r="D33" s="34">
        <f>'Another Industry practice No Gr'!E29</f>
        <v>136835.1631</v>
      </c>
      <c r="E33" s="34">
        <f>'Another Industry practice No Gr'!F29</f>
        <v>166929.8311</v>
      </c>
      <c r="F33" s="35">
        <f>'Another Industry practice No Gr'!G29</f>
        <v>202801.7098</v>
      </c>
      <c r="G33" s="36">
        <f t="shared" si="2"/>
        <v>720862.895</v>
      </c>
    </row>
    <row r="34">
      <c r="A34" s="33" t="s">
        <v>37</v>
      </c>
      <c r="B34" s="37">
        <f>'Performance Fee - Sameeksha Pre'!C29</f>
        <v>90868.8264</v>
      </c>
      <c r="C34" s="37">
        <f>'Performance Fee - Sameeksha Pre'!D29</f>
        <v>123427.3645</v>
      </c>
      <c r="D34" s="37">
        <f>'Performance Fee - Sameeksha Pre'!E29</f>
        <v>140508.396</v>
      </c>
      <c r="E34" s="37">
        <f>'Performance Fee - Sameeksha Pre'!F29</f>
        <v>171410.9319</v>
      </c>
      <c r="F34" s="38">
        <f>'Performance Fee - Sameeksha Pre'!G29</f>
        <v>208512.6646</v>
      </c>
      <c r="G34" s="36">
        <f t="shared" si="2"/>
        <v>734728.1834</v>
      </c>
    </row>
    <row r="35">
      <c r="A35" s="33" t="s">
        <v>38</v>
      </c>
      <c r="B35" s="37">
        <f>'Perf Fee - Sameeksha Current Me'!C29</f>
        <v>90823.3374</v>
      </c>
      <c r="C35" s="37">
        <f>'Perf Fee - Sameeksha Current Me'!D29</f>
        <v>123326.4745</v>
      </c>
      <c r="D35" s="37">
        <f>'Perf Fee - Sameeksha Current Me'!E29</f>
        <v>141030.9577</v>
      </c>
      <c r="E35" s="37">
        <f>'Perf Fee - Sameeksha Current Me'!F29</f>
        <v>171964.8024</v>
      </c>
      <c r="F35" s="38">
        <f>'Perf Fee - Sameeksha Current Me'!G29</f>
        <v>211707.6872</v>
      </c>
      <c r="G35" s="36">
        <f t="shared" si="2"/>
        <v>738853.2592</v>
      </c>
    </row>
    <row r="36">
      <c r="A36" s="23"/>
      <c r="B36" s="39"/>
      <c r="C36" s="39"/>
      <c r="D36" s="39"/>
      <c r="E36" s="39"/>
      <c r="F36" s="40"/>
      <c r="G36" s="41"/>
    </row>
    <row r="38">
      <c r="A38" s="23" t="s">
        <v>39</v>
      </c>
      <c r="B38" s="24" t="s">
        <v>26</v>
      </c>
      <c r="C38" s="24" t="s">
        <v>27</v>
      </c>
      <c r="D38" s="24" t="s">
        <v>28</v>
      </c>
      <c r="E38" s="24" t="s">
        <v>29</v>
      </c>
      <c r="F38" s="25" t="s">
        <v>30</v>
      </c>
      <c r="G38" s="32" t="s">
        <v>34</v>
      </c>
      <c r="K38" s="42"/>
      <c r="L38" s="42"/>
      <c r="M38" s="43"/>
      <c r="N38" s="43"/>
    </row>
    <row r="39">
      <c r="A39" s="44" t="s">
        <v>40</v>
      </c>
      <c r="B39" s="45">
        <f>'A typical Industry practiceNo H'!C40</f>
        <v>1137491.485</v>
      </c>
      <c r="C39" s="45">
        <f>'A typical Industry practiceNo H'!D40</f>
        <v>360140.1988</v>
      </c>
      <c r="D39" s="45">
        <f>'A typical Industry practiceNo H'!E40</f>
        <v>0</v>
      </c>
      <c r="E39" s="45">
        <f>'A typical Industry practiceNo H'!F40</f>
        <v>975875.1341</v>
      </c>
      <c r="F39" s="45">
        <f>'A typical Industry practiceNo H'!G40</f>
        <v>310804.3308</v>
      </c>
      <c r="G39" s="46">
        <f t="shared" ref="G39:G40" si="3">SUM(B39:F39)</f>
        <v>2784311.149</v>
      </c>
      <c r="K39" s="42"/>
      <c r="L39" s="42"/>
      <c r="M39" s="43"/>
      <c r="N39" s="43"/>
    </row>
    <row r="40">
      <c r="A40" s="44" t="s">
        <v>41</v>
      </c>
      <c r="B40" s="45">
        <f>'Another Industry practice No Gr'!C40</f>
        <v>1137491.485</v>
      </c>
      <c r="C40" s="45">
        <f>'Another Industry practice No Gr'!D40</f>
        <v>360140.1988</v>
      </c>
      <c r="D40" s="45">
        <f>'Another Industry practice No Gr'!E40</f>
        <v>0</v>
      </c>
      <c r="E40" s="45">
        <f>'Another Industry practice No Gr'!F40</f>
        <v>697324.4881</v>
      </c>
      <c r="F40" s="45">
        <f>'Another Industry practice No Gr'!G40</f>
        <v>316439.0973</v>
      </c>
      <c r="G40" s="46">
        <f t="shared" si="3"/>
        <v>2511395.269</v>
      </c>
      <c r="K40" s="42"/>
      <c r="L40" s="42"/>
      <c r="M40" s="43"/>
      <c r="N40" s="43"/>
    </row>
    <row r="41">
      <c r="A41" s="47"/>
      <c r="B41" s="45"/>
      <c r="C41" s="45"/>
      <c r="D41" s="45"/>
      <c r="E41" s="45"/>
      <c r="F41" s="36"/>
      <c r="G41" s="48"/>
      <c r="K41" s="42"/>
      <c r="L41" s="42"/>
      <c r="M41" s="43"/>
      <c r="N41" s="43"/>
    </row>
    <row r="42">
      <c r="A42" s="44" t="s">
        <v>42</v>
      </c>
      <c r="B42" s="45">
        <f>'Performance Fee - Sameeksha Pre'!C40</f>
        <v>1137491.485</v>
      </c>
      <c r="C42" s="45">
        <f>'Performance Fee - Sameeksha Pre'!D40</f>
        <v>57699.71164</v>
      </c>
      <c r="D42" s="45">
        <f>'Performance Fee - Sameeksha Pre'!E40</f>
        <v>0</v>
      </c>
      <c r="E42" s="45">
        <f>'Performance Fee - Sameeksha Pre'!F40</f>
        <v>695456.3892</v>
      </c>
      <c r="F42" s="36">
        <f>'Performance Fee - Sameeksha Pre'!G40</f>
        <v>138807.5285</v>
      </c>
      <c r="G42" s="46">
        <f>SUM(B42:F42)</f>
        <v>2029455.114</v>
      </c>
      <c r="K42" s="42"/>
      <c r="L42" s="42"/>
      <c r="M42" s="43"/>
      <c r="N42" s="43"/>
    </row>
    <row r="43">
      <c r="A43" s="47"/>
      <c r="B43" s="45"/>
      <c r="C43" s="45"/>
      <c r="D43" s="45"/>
      <c r="E43" s="45"/>
      <c r="F43" s="36"/>
      <c r="G43" s="49"/>
      <c r="K43" s="42"/>
      <c r="L43" s="42"/>
      <c r="M43" s="43"/>
      <c r="N43" s="43"/>
    </row>
    <row r="44">
      <c r="A44" s="50" t="s">
        <v>43</v>
      </c>
      <c r="B44" s="51">
        <f>'Perf Fee - Sameeksha Current Me'!C50</f>
        <v>1136592.44</v>
      </c>
      <c r="C44" s="51">
        <f>'Perf Fee - Sameeksha Current Me'!D50</f>
        <v>0</v>
      </c>
      <c r="D44" s="51">
        <f>'Perf Fee - Sameeksha Current Me'!E50</f>
        <v>0</v>
      </c>
      <c r="E44" s="51">
        <f>'Perf Fee - Sameeksha Current Me'!F50</f>
        <v>496266.8608</v>
      </c>
      <c r="F44" s="52">
        <f>'Perf Fee - Sameeksha Current Me'!G50</f>
        <v>148844.4979</v>
      </c>
      <c r="G44" s="53">
        <f>SUM(B44:F45)</f>
        <v>1992081.92</v>
      </c>
      <c r="K44" s="43"/>
      <c r="L44" s="43"/>
    </row>
    <row r="45">
      <c r="A45" s="54" t="s">
        <v>44</v>
      </c>
      <c r="B45" s="55">
        <f>'Perf Fee - Sameeksha Current Me'!C52</f>
        <v>0</v>
      </c>
      <c r="C45" s="55">
        <f>'Perf Fee - Sameeksha Current Me'!D52</f>
        <v>35430.59247</v>
      </c>
      <c r="D45" s="55">
        <f>'Perf Fee - Sameeksha Current Me'!E52</f>
        <v>0</v>
      </c>
      <c r="E45" s="55">
        <f>'Perf Fee - Sameeksha Current Me'!F52</f>
        <v>174947.5284</v>
      </c>
      <c r="F45" s="56">
        <f>'Perf Fee - Sameeksha Current Me'!G52</f>
        <v>0</v>
      </c>
      <c r="G45" s="57"/>
      <c r="K45" s="43"/>
      <c r="L45" s="43"/>
    </row>
    <row r="46">
      <c r="A46" s="47"/>
      <c r="B46" s="58"/>
      <c r="C46" s="58"/>
      <c r="D46" s="58"/>
      <c r="E46" s="58"/>
      <c r="F46" s="59"/>
      <c r="G46" s="60"/>
    </row>
    <row r="47">
      <c r="A47" s="54" t="s">
        <v>45</v>
      </c>
      <c r="B47" s="55">
        <f>'Perf Fee - Sameeksha Current Me'!C60</f>
        <v>0</v>
      </c>
      <c r="C47" s="55">
        <f>'Perf Fee - Sameeksha Current Me'!D60</f>
        <v>0</v>
      </c>
      <c r="D47" s="55">
        <f>'Perf Fee - Sameeksha Current Me'!E60</f>
        <v>0</v>
      </c>
      <c r="E47" s="55">
        <f>'Perf Fee - Sameeksha Current Me'!F60</f>
        <v>0</v>
      </c>
      <c r="F47" s="56">
        <f>'Perf Fee - Sameeksha Current Me'!G60</f>
        <v>210378.1209</v>
      </c>
      <c r="G47" s="61"/>
    </row>
    <row r="56">
      <c r="B56" s="62"/>
      <c r="C56" s="62"/>
      <c r="D56" s="62"/>
      <c r="E56" s="62"/>
      <c r="F56" s="62"/>
    </row>
    <row r="59">
      <c r="B59" s="42"/>
      <c r="C59" s="42"/>
      <c r="D59" s="42"/>
      <c r="E59" s="42"/>
      <c r="F59" s="42"/>
    </row>
  </sheetData>
  <mergeCells count="7">
    <mergeCell ref="A1:J1"/>
    <mergeCell ref="A5:I5"/>
    <mergeCell ref="B6:I6"/>
    <mergeCell ref="B7:I7"/>
    <mergeCell ref="B8:I8"/>
    <mergeCell ref="B9:I9"/>
    <mergeCell ref="G44:G45"/>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5A6BD"/>
    <outlinePr summaryBelow="0" summaryRight="0"/>
  </sheetPr>
  <sheetViews>
    <sheetView workbookViewId="0"/>
  </sheetViews>
  <sheetFormatPr customHeight="1" defaultColWidth="12.63" defaultRowHeight="15.75"/>
  <cols>
    <col customWidth="1" min="1" max="1" width="5.25"/>
    <col customWidth="1" min="2" max="2" width="69.75"/>
    <col customWidth="1" min="3" max="7" width="13.0"/>
    <col customWidth="1" min="8" max="8" width="21.75"/>
  </cols>
  <sheetData>
    <row r="1">
      <c r="A1" s="63"/>
      <c r="B1" s="1" t="s">
        <v>0</v>
      </c>
    </row>
    <row r="2">
      <c r="A2" s="63"/>
      <c r="B2" s="63"/>
      <c r="C2" s="64"/>
      <c r="D2" s="65"/>
      <c r="E2" s="65"/>
    </row>
    <row r="3">
      <c r="A3" s="63"/>
      <c r="B3" s="63"/>
      <c r="C3" s="64"/>
      <c r="D3" s="65"/>
      <c r="E3" s="65"/>
    </row>
    <row r="4">
      <c r="A4" s="63"/>
      <c r="B4" s="63" t="s">
        <v>46</v>
      </c>
      <c r="C4" s="64"/>
      <c r="D4" s="65"/>
      <c r="E4" s="65"/>
    </row>
    <row r="5">
      <c r="A5" s="63"/>
      <c r="B5" s="66" t="s">
        <v>21</v>
      </c>
      <c r="C5" s="67">
        <f>'Summary Sheet'!B21</f>
        <v>5000000</v>
      </c>
      <c r="D5" s="63"/>
      <c r="E5" s="65"/>
    </row>
    <row r="6">
      <c r="A6" s="63">
        <v>1.0</v>
      </c>
      <c r="B6" s="68" t="s">
        <v>23</v>
      </c>
      <c r="C6" s="69">
        <f>'Summary Sheet'!B23</f>
        <v>0.1</v>
      </c>
      <c r="D6" s="65"/>
      <c r="E6" s="70"/>
    </row>
    <row r="7">
      <c r="A7" s="63">
        <v>2.0</v>
      </c>
      <c r="B7" s="68" t="s">
        <v>47</v>
      </c>
      <c r="C7" s="69">
        <f>'Summary Sheet'!B24</f>
        <v>0.2</v>
      </c>
      <c r="D7" s="65"/>
      <c r="E7" s="70"/>
    </row>
    <row r="8">
      <c r="A8" s="63">
        <v>3.0</v>
      </c>
      <c r="B8" s="68" t="s">
        <v>48</v>
      </c>
      <c r="C8" s="69">
        <v>0.0012</v>
      </c>
      <c r="D8" s="65"/>
      <c r="E8" s="70"/>
    </row>
    <row r="9">
      <c r="A9" s="63">
        <v>4.0</v>
      </c>
      <c r="B9" s="68" t="s">
        <v>49</v>
      </c>
      <c r="C9" s="69">
        <v>5.0E-4</v>
      </c>
      <c r="D9" s="65"/>
      <c r="E9" s="70"/>
    </row>
    <row r="10">
      <c r="A10" s="63">
        <v>5.0</v>
      </c>
      <c r="B10" s="68" t="s">
        <v>50</v>
      </c>
      <c r="C10" s="69">
        <v>0.18</v>
      </c>
      <c r="D10" s="65"/>
      <c r="E10" s="70"/>
      <c r="H10" s="71"/>
      <c r="I10" s="71"/>
      <c r="J10" s="71"/>
      <c r="K10" s="71"/>
    </row>
    <row r="11">
      <c r="A11" s="63">
        <v>6.0</v>
      </c>
      <c r="B11" s="72" t="s">
        <v>51</v>
      </c>
      <c r="C11" s="73">
        <f>'Summary Sheet'!B22</f>
        <v>0.01</v>
      </c>
      <c r="D11" s="74"/>
      <c r="E11" s="70"/>
    </row>
    <row r="12">
      <c r="A12" s="63"/>
      <c r="B12" s="63"/>
      <c r="C12" s="71"/>
      <c r="D12" s="65"/>
      <c r="E12" s="70"/>
    </row>
    <row r="13">
      <c r="A13" s="63"/>
      <c r="B13" s="63"/>
      <c r="C13" s="71"/>
      <c r="D13" s="65"/>
      <c r="E13" s="75"/>
    </row>
    <row r="14">
      <c r="A14" s="63"/>
      <c r="D14" s="74"/>
      <c r="E14" s="70"/>
    </row>
    <row r="15">
      <c r="A15" s="76"/>
      <c r="B15" s="76"/>
      <c r="C15" s="76"/>
      <c r="D15" s="76"/>
      <c r="E15" s="76"/>
    </row>
    <row r="16">
      <c r="A16" s="76"/>
      <c r="B16" s="17" t="s">
        <v>52</v>
      </c>
      <c r="C16" s="77" t="s">
        <v>26</v>
      </c>
      <c r="D16" s="77" t="s">
        <v>27</v>
      </c>
      <c r="E16" s="77" t="s">
        <v>28</v>
      </c>
      <c r="F16" s="77" t="s">
        <v>29</v>
      </c>
      <c r="G16" s="78" t="s">
        <v>30</v>
      </c>
    </row>
    <row r="17">
      <c r="A17" s="76"/>
      <c r="B17" s="19"/>
      <c r="C17" s="79"/>
      <c r="D17" s="79"/>
      <c r="E17" s="79"/>
      <c r="G17" s="60"/>
    </row>
    <row r="18">
      <c r="A18" s="80" t="s">
        <v>53</v>
      </c>
      <c r="B18" s="81" t="s">
        <v>25</v>
      </c>
      <c r="C18" s="71">
        <f>'Summary Sheet'!B27</f>
        <v>1.084</v>
      </c>
      <c r="D18" s="71">
        <f>'Summary Sheet'!C27</f>
        <v>0.281</v>
      </c>
      <c r="E18" s="71">
        <f>'Summary Sheet'!D27</f>
        <v>0.061</v>
      </c>
      <c r="F18" s="71">
        <f>'Summary Sheet'!E27</f>
        <v>0.4</v>
      </c>
      <c r="G18" s="71">
        <f>'Summary Sheet'!F27</f>
        <v>0.2</v>
      </c>
    </row>
    <row r="19">
      <c r="A19" s="82" t="s">
        <v>54</v>
      </c>
      <c r="B19" s="83" t="s">
        <v>55</v>
      </c>
      <c r="C19" s="84">
        <f>'Summary Sheet'!B28</f>
        <v>0.786</v>
      </c>
      <c r="D19" s="84">
        <f>'Summary Sheet'!C28</f>
        <v>0.223</v>
      </c>
      <c r="E19" s="84">
        <f>'Summary Sheet'!D28</f>
        <v>-0.009</v>
      </c>
      <c r="F19" s="84">
        <f>'Summary Sheet'!E28</f>
        <v>0.402</v>
      </c>
      <c r="G19" s="84">
        <f>'Summary Sheet'!F28</f>
        <v>-0.013</v>
      </c>
    </row>
    <row r="20">
      <c r="A20" s="82" t="s">
        <v>56</v>
      </c>
      <c r="B20" s="83" t="s">
        <v>57</v>
      </c>
      <c r="C20" s="85">
        <f t="shared" ref="C20:G20" si="1">C18-C19</f>
        <v>0.298</v>
      </c>
      <c r="D20" s="85">
        <f t="shared" si="1"/>
        <v>0.058</v>
      </c>
      <c r="E20" s="85">
        <f t="shared" si="1"/>
        <v>0.07</v>
      </c>
      <c r="F20" s="85">
        <f t="shared" si="1"/>
        <v>-0.002</v>
      </c>
      <c r="G20" s="86">
        <f t="shared" si="1"/>
        <v>0.213</v>
      </c>
    </row>
    <row r="21">
      <c r="A21" s="82" t="s">
        <v>58</v>
      </c>
      <c r="B21" s="83" t="s">
        <v>59</v>
      </c>
      <c r="C21" s="87">
        <f>$C$22</f>
        <v>5000000</v>
      </c>
      <c r="D21" s="87">
        <f t="shared" ref="D21:G21" si="2">if(C40&gt;0,max(C21,(C42)),C21)</f>
        <v>9182387.689</v>
      </c>
      <c r="E21" s="87">
        <f t="shared" si="2"/>
        <v>11266504.05</v>
      </c>
      <c r="F21" s="87">
        <f t="shared" si="2"/>
        <v>11266504.05</v>
      </c>
      <c r="G21" s="87">
        <f t="shared" si="2"/>
        <v>15364389.59</v>
      </c>
    </row>
    <row r="22">
      <c r="A22" s="82" t="s">
        <v>60</v>
      </c>
      <c r="B22" s="88" t="s">
        <v>61</v>
      </c>
      <c r="C22" s="62">
        <f>$C$5</f>
        <v>5000000</v>
      </c>
      <c r="D22" s="62">
        <f t="shared" ref="D22:G22" si="3">C42</f>
        <v>9182387.689</v>
      </c>
      <c r="E22" s="62">
        <f t="shared" si="3"/>
        <v>11266504.05</v>
      </c>
      <c r="F22" s="62">
        <f t="shared" si="3"/>
        <v>11802993.48</v>
      </c>
      <c r="G22" s="89">
        <f t="shared" si="3"/>
        <v>15364389.59</v>
      </c>
      <c r="H22" s="43"/>
    </row>
    <row r="23">
      <c r="A23" s="82" t="s">
        <v>62</v>
      </c>
      <c r="B23" s="88" t="s">
        <v>63</v>
      </c>
      <c r="C23" s="62">
        <f t="shared" ref="C23:G23" si="4">C22*C18</f>
        <v>5420000</v>
      </c>
      <c r="D23" s="62">
        <f t="shared" si="4"/>
        <v>2580250.941</v>
      </c>
      <c r="E23" s="62">
        <f t="shared" si="4"/>
        <v>687256.7471</v>
      </c>
      <c r="F23" s="62">
        <f t="shared" si="4"/>
        <v>4721197.39</v>
      </c>
      <c r="G23" s="89">
        <f t="shared" si="4"/>
        <v>3072877.918</v>
      </c>
    </row>
    <row r="24">
      <c r="A24" s="82" t="s">
        <v>64</v>
      </c>
      <c r="B24" s="88" t="s">
        <v>65</v>
      </c>
      <c r="C24" s="62">
        <f t="shared" ref="C24:G24" si="5">C23+C22</f>
        <v>10420000</v>
      </c>
      <c r="D24" s="62">
        <f t="shared" si="5"/>
        <v>11762638.63</v>
      </c>
      <c r="E24" s="62">
        <f t="shared" si="5"/>
        <v>11953760.8</v>
      </c>
      <c r="F24" s="62">
        <f t="shared" si="5"/>
        <v>16524190.87</v>
      </c>
      <c r="G24" s="89">
        <f t="shared" si="5"/>
        <v>18437267.51</v>
      </c>
    </row>
    <row r="25">
      <c r="A25" s="90" t="s">
        <v>66</v>
      </c>
      <c r="B25" s="91" t="s">
        <v>67</v>
      </c>
      <c r="C25" s="62">
        <f t="shared" ref="C25:G25" si="6">(C24+C22)/2</f>
        <v>7710000</v>
      </c>
      <c r="D25" s="62">
        <f t="shared" si="6"/>
        <v>10472513.16</v>
      </c>
      <c r="E25" s="62">
        <f t="shared" si="6"/>
        <v>11610132.42</v>
      </c>
      <c r="F25" s="62">
        <f t="shared" si="6"/>
        <v>14163592.17</v>
      </c>
      <c r="G25" s="89">
        <f t="shared" si="6"/>
        <v>16900828.55</v>
      </c>
    </row>
    <row r="26">
      <c r="A26" s="92"/>
      <c r="B26" s="93"/>
      <c r="C26" s="94"/>
      <c r="D26" s="94"/>
      <c r="E26" s="94"/>
      <c r="F26" s="94"/>
      <c r="G26" s="95"/>
    </row>
    <row r="27">
      <c r="A27" s="82" t="s">
        <v>68</v>
      </c>
      <c r="B27" s="88" t="s">
        <v>69</v>
      </c>
      <c r="C27" s="64">
        <f t="shared" ref="C27:G27" si="7">C25*$C$8</f>
        <v>9252</v>
      </c>
      <c r="D27" s="64">
        <f t="shared" si="7"/>
        <v>12567.01579</v>
      </c>
      <c r="E27" s="64">
        <f t="shared" si="7"/>
        <v>13932.15891</v>
      </c>
      <c r="F27" s="64">
        <f t="shared" si="7"/>
        <v>16996.3106</v>
      </c>
      <c r="G27" s="96">
        <f t="shared" si="7"/>
        <v>20280.99426</v>
      </c>
    </row>
    <row r="28">
      <c r="A28" s="97"/>
      <c r="B28" s="98"/>
      <c r="C28" s="99"/>
      <c r="D28" s="99"/>
      <c r="E28" s="99"/>
      <c r="F28" s="99"/>
      <c r="G28" s="100"/>
      <c r="H28" s="101"/>
    </row>
    <row r="29">
      <c r="A29" s="82" t="s">
        <v>70</v>
      </c>
      <c r="B29" s="88" t="s">
        <v>71</v>
      </c>
      <c r="C29" s="64">
        <f t="shared" ref="C29:G29" si="8">(C25-C27)*$C$11*(1+$C$10)</f>
        <v>90868.8264</v>
      </c>
      <c r="D29" s="64">
        <f t="shared" si="8"/>
        <v>123427.3645</v>
      </c>
      <c r="E29" s="64">
        <f t="shared" si="8"/>
        <v>136835.1631</v>
      </c>
      <c r="F29" s="64">
        <f t="shared" si="8"/>
        <v>166929.8311</v>
      </c>
      <c r="G29" s="96">
        <f t="shared" si="8"/>
        <v>199190.4611</v>
      </c>
    </row>
    <row r="30">
      <c r="A30" s="97"/>
      <c r="B30" s="98"/>
      <c r="C30" s="64"/>
      <c r="D30" s="64"/>
      <c r="E30" s="64"/>
      <c r="F30" s="64"/>
      <c r="G30" s="96"/>
    </row>
    <row r="31">
      <c r="A31" s="82" t="s">
        <v>72</v>
      </c>
      <c r="B31" s="88" t="s">
        <v>73</v>
      </c>
      <c r="C31" s="64">
        <f t="shared" ref="C31:G31" si="9">C24-C27-C29</f>
        <v>10319879.17</v>
      </c>
      <c r="D31" s="64">
        <f t="shared" si="9"/>
        <v>11626644.25</v>
      </c>
      <c r="E31" s="64">
        <f t="shared" si="9"/>
        <v>11802993.48</v>
      </c>
      <c r="F31" s="64">
        <f t="shared" si="9"/>
        <v>16340264.72</v>
      </c>
      <c r="G31" s="96">
        <f t="shared" si="9"/>
        <v>18217796.05</v>
      </c>
    </row>
    <row r="32">
      <c r="A32" s="92"/>
      <c r="B32" s="93"/>
      <c r="G32" s="60"/>
    </row>
    <row r="33">
      <c r="A33" s="82" t="s">
        <v>74</v>
      </c>
      <c r="B33" s="102" t="s">
        <v>75</v>
      </c>
      <c r="C33" s="103">
        <f t="shared" ref="C33:G33" si="10">C31/C21-1</f>
        <v>1.063975835</v>
      </c>
      <c r="D33" s="103">
        <f t="shared" si="10"/>
        <v>0.2661896495</v>
      </c>
      <c r="E33" s="103">
        <f t="shared" si="10"/>
        <v>0.04761809188</v>
      </c>
      <c r="F33" s="103">
        <f t="shared" si="10"/>
        <v>0.4503402875</v>
      </c>
      <c r="G33" s="104">
        <f t="shared" si="10"/>
        <v>0.185715576</v>
      </c>
    </row>
    <row r="34">
      <c r="A34" s="105" t="s">
        <v>76</v>
      </c>
      <c r="B34" s="106" t="s">
        <v>77</v>
      </c>
      <c r="C34" s="84">
        <v>0.1</v>
      </c>
      <c r="D34" s="84">
        <v>0.1</v>
      </c>
      <c r="E34" s="84">
        <v>0.1</v>
      </c>
      <c r="F34" s="84">
        <v>0.1</v>
      </c>
      <c r="G34" s="84">
        <v>0.1</v>
      </c>
    </row>
    <row r="35">
      <c r="A35" s="97"/>
      <c r="B35" s="93"/>
      <c r="G35" s="60"/>
    </row>
    <row r="36">
      <c r="A36" s="82" t="s">
        <v>78</v>
      </c>
      <c r="B36" s="88" t="s">
        <v>79</v>
      </c>
      <c r="C36" s="103">
        <f t="shared" ref="C36:G36" si="11">if(C33-C34&lt;0,0,C33-C34)</f>
        <v>0.9639758347</v>
      </c>
      <c r="D36" s="103">
        <f t="shared" si="11"/>
        <v>0.1661896495</v>
      </c>
      <c r="E36" s="103">
        <f t="shared" si="11"/>
        <v>0</v>
      </c>
      <c r="F36" s="103">
        <f t="shared" si="11"/>
        <v>0.3503402875</v>
      </c>
      <c r="G36" s="104">
        <f t="shared" si="11"/>
        <v>0.085715576</v>
      </c>
    </row>
    <row r="37">
      <c r="A37" s="92"/>
      <c r="B37" s="93"/>
      <c r="C37" s="103"/>
      <c r="D37" s="103"/>
      <c r="E37" s="103"/>
      <c r="F37" s="103"/>
      <c r="G37" s="104"/>
    </row>
    <row r="38">
      <c r="A38" s="82" t="s">
        <v>80</v>
      </c>
      <c r="B38" s="88" t="s">
        <v>81</v>
      </c>
      <c r="C38" s="103">
        <f t="shared" ref="C38:G38" si="12">C36*($C$7*(1+$C10))</f>
        <v>0.227498297</v>
      </c>
      <c r="D38" s="103">
        <f t="shared" si="12"/>
        <v>0.03922075728</v>
      </c>
      <c r="E38" s="103">
        <f t="shared" si="12"/>
        <v>0</v>
      </c>
      <c r="F38" s="103">
        <f t="shared" si="12"/>
        <v>0.08268030786</v>
      </c>
      <c r="G38" s="104">
        <f t="shared" si="12"/>
        <v>0.02022887594</v>
      </c>
    </row>
    <row r="39">
      <c r="A39" s="92"/>
      <c r="B39" s="93"/>
      <c r="C39" s="107"/>
      <c r="D39" s="107"/>
      <c r="E39" s="107"/>
      <c r="F39" s="108"/>
      <c r="G39" s="109"/>
      <c r="L39" s="107"/>
    </row>
    <row r="40">
      <c r="A40" s="110" t="s">
        <v>82</v>
      </c>
      <c r="B40" s="47" t="s">
        <v>83</v>
      </c>
      <c r="C40" s="62">
        <f t="shared" ref="C40:G40" si="13">C38*C22</f>
        <v>1137491.485</v>
      </c>
      <c r="D40" s="62">
        <f t="shared" si="13"/>
        <v>360140.1988</v>
      </c>
      <c r="E40" s="62">
        <f t="shared" si="13"/>
        <v>0</v>
      </c>
      <c r="F40" s="62">
        <f t="shared" si="13"/>
        <v>975875.1341</v>
      </c>
      <c r="G40" s="89">
        <f t="shared" si="13"/>
        <v>310804.3308</v>
      </c>
      <c r="L40" s="107"/>
    </row>
    <row r="41">
      <c r="A41" s="111"/>
      <c r="B41" s="112"/>
      <c r="C41" s="62"/>
      <c r="D41" s="62"/>
      <c r="E41" s="62"/>
      <c r="F41" s="62"/>
      <c r="G41" s="89"/>
      <c r="L41" s="107"/>
    </row>
    <row r="42">
      <c r="A42" s="110" t="s">
        <v>84</v>
      </c>
      <c r="B42" s="47" t="s">
        <v>85</v>
      </c>
      <c r="C42" s="62">
        <f t="shared" ref="C42:G42" si="14">C31-C40</f>
        <v>9182387.689</v>
      </c>
      <c r="D42" s="62">
        <f t="shared" si="14"/>
        <v>11266504.05</v>
      </c>
      <c r="E42" s="62">
        <f t="shared" si="14"/>
        <v>11802993.48</v>
      </c>
      <c r="F42" s="62">
        <f t="shared" si="14"/>
        <v>15364389.59</v>
      </c>
      <c r="G42" s="89">
        <f t="shared" si="14"/>
        <v>17906991.72</v>
      </c>
      <c r="H42" s="43">
        <f>(G42/C21)^(1/5)-1</f>
        <v>0.2906560624</v>
      </c>
      <c r="L42" s="107"/>
    </row>
    <row r="43">
      <c r="B43" s="113"/>
      <c r="F43" s="42"/>
      <c r="G43" s="114"/>
      <c r="L43" s="107"/>
    </row>
    <row r="44">
      <c r="A44" s="111"/>
      <c r="B44" s="54" t="s">
        <v>86</v>
      </c>
      <c r="C44" s="115">
        <f t="shared" ref="C44:G44" si="15">C42/C22-1</f>
        <v>0.8364775377</v>
      </c>
      <c r="D44" s="115">
        <f t="shared" si="15"/>
        <v>0.2269688922</v>
      </c>
      <c r="E44" s="115">
        <f t="shared" si="15"/>
        <v>0.04761809188</v>
      </c>
      <c r="F44" s="115">
        <f t="shared" si="15"/>
        <v>0.3017366841</v>
      </c>
      <c r="G44" s="116">
        <f t="shared" si="15"/>
        <v>0.1654867001</v>
      </c>
      <c r="L44" s="107"/>
    </row>
    <row r="45">
      <c r="L45" s="107"/>
    </row>
    <row r="46">
      <c r="A46" s="111"/>
      <c r="B46" s="111"/>
      <c r="C46" s="43"/>
      <c r="D46" s="43"/>
      <c r="E46" s="43"/>
      <c r="F46" s="43"/>
      <c r="G46" s="43"/>
      <c r="L46" s="107"/>
    </row>
    <row r="47">
      <c r="L47" s="107"/>
    </row>
    <row r="48">
      <c r="A48" s="111"/>
      <c r="B48" s="111"/>
      <c r="C48" s="94"/>
      <c r="D48" s="94"/>
      <c r="E48" s="94"/>
      <c r="F48" s="94"/>
      <c r="G48" s="94"/>
    </row>
    <row r="50">
      <c r="A50" s="111"/>
      <c r="B50" s="111"/>
      <c r="C50" s="94"/>
      <c r="D50" s="94"/>
      <c r="E50" s="94"/>
      <c r="F50" s="94"/>
      <c r="G50" s="94"/>
    </row>
    <row r="52">
      <c r="A52" s="111"/>
      <c r="B52" s="111"/>
      <c r="C52" s="94"/>
      <c r="D52" s="94"/>
      <c r="E52" s="94"/>
      <c r="F52" s="94"/>
      <c r="G52" s="94"/>
    </row>
    <row r="54">
      <c r="A54" s="111"/>
      <c r="B54" s="111"/>
    </row>
    <row r="56">
      <c r="B56" s="111"/>
    </row>
    <row r="57">
      <c r="B57" s="111"/>
      <c r="E57" s="42"/>
      <c r="F57" s="42"/>
      <c r="G57" s="42"/>
    </row>
    <row r="58">
      <c r="B58" s="111"/>
      <c r="C58" s="42"/>
      <c r="D58" s="42"/>
      <c r="E58" s="42"/>
      <c r="F58" s="42"/>
      <c r="G58" s="42"/>
    </row>
    <row r="59">
      <c r="B59" s="111"/>
    </row>
    <row r="60">
      <c r="B60" s="111"/>
    </row>
    <row r="62">
      <c r="B62" s="111"/>
    </row>
    <row r="64">
      <c r="B64" s="111"/>
    </row>
    <row r="66">
      <c r="B66" s="111"/>
      <c r="C66" s="43"/>
      <c r="D66" s="43"/>
      <c r="E66" s="43"/>
      <c r="F66" s="43"/>
      <c r="G66" s="43"/>
    </row>
    <row r="68">
      <c r="E68" s="43"/>
    </row>
    <row r="72">
      <c r="B72" s="111"/>
      <c r="C72" s="62"/>
      <c r="D72" s="62"/>
      <c r="E72" s="62"/>
      <c r="F72" s="62"/>
      <c r="H72" s="117"/>
    </row>
    <row r="73">
      <c r="A73" s="111"/>
      <c r="B73" s="111"/>
      <c r="C73" s="62"/>
      <c r="D73" s="43"/>
      <c r="E73" s="43"/>
      <c r="I73" s="43"/>
    </row>
    <row r="74">
      <c r="B74" s="111"/>
      <c r="C74" s="94"/>
      <c r="D74" s="62"/>
      <c r="E74" s="43"/>
      <c r="J74" s="43"/>
    </row>
    <row r="75">
      <c r="B75" s="111"/>
      <c r="C75" s="43"/>
      <c r="D75" s="43"/>
      <c r="E75" s="43"/>
      <c r="F75" s="43"/>
      <c r="G75" s="43"/>
      <c r="H75" s="117"/>
      <c r="J75" s="43"/>
    </row>
    <row r="76">
      <c r="B76" s="111"/>
      <c r="C76" s="62"/>
      <c r="D76" s="62"/>
      <c r="E76" s="62"/>
    </row>
    <row r="77">
      <c r="B77" s="111"/>
      <c r="C77" s="43"/>
      <c r="D77" s="62"/>
      <c r="E77" s="62"/>
    </row>
    <row r="78">
      <c r="A78" s="111"/>
      <c r="B78" s="111"/>
      <c r="C78" s="62"/>
      <c r="D78" s="62"/>
      <c r="E78" s="62"/>
    </row>
    <row r="79">
      <c r="A79" s="111"/>
      <c r="B79" s="111"/>
      <c r="C79" s="62"/>
      <c r="D79" s="62"/>
      <c r="E79" s="62"/>
    </row>
    <row r="80">
      <c r="C80" s="62"/>
      <c r="D80" s="62"/>
      <c r="E80" s="62"/>
    </row>
    <row r="81">
      <c r="C81" s="111"/>
      <c r="D81" s="111"/>
      <c r="E81" s="111"/>
    </row>
    <row r="82">
      <c r="A82" s="111"/>
      <c r="B82" s="111"/>
      <c r="C82" s="117"/>
      <c r="D82" s="117"/>
      <c r="E82" s="117"/>
    </row>
    <row r="84">
      <c r="A84" s="92"/>
      <c r="B84" s="92"/>
      <c r="C84" s="118"/>
      <c r="D84" s="118"/>
      <c r="E84" s="118"/>
    </row>
    <row r="85">
      <c r="A85" s="92"/>
      <c r="B85" s="92"/>
      <c r="C85" s="119"/>
      <c r="D85" s="119"/>
      <c r="E85" s="119"/>
    </row>
    <row r="86">
      <c r="A86" s="120"/>
      <c r="B86" s="120"/>
      <c r="C86" s="121"/>
      <c r="D86" s="121"/>
      <c r="E86" s="121"/>
    </row>
    <row r="87">
      <c r="A87" s="92"/>
      <c r="B87" s="92"/>
      <c r="C87" s="118"/>
      <c r="D87" s="118"/>
      <c r="E87" s="118"/>
    </row>
    <row r="88">
      <c r="A88" s="92"/>
      <c r="B88" s="92"/>
      <c r="C88" s="118"/>
      <c r="D88" s="118"/>
      <c r="E88" s="118"/>
    </row>
    <row r="89">
      <c r="A89" s="92"/>
      <c r="B89" s="92"/>
      <c r="C89" s="118"/>
      <c r="D89" s="118"/>
      <c r="E89" s="118"/>
    </row>
    <row r="90">
      <c r="A90" s="92"/>
      <c r="B90" s="92"/>
      <c r="C90" s="92"/>
      <c r="D90" s="92"/>
      <c r="E90" s="92"/>
    </row>
    <row r="91">
      <c r="A91" s="92"/>
      <c r="B91" s="92"/>
      <c r="C91" s="118"/>
      <c r="D91" s="118"/>
      <c r="E91" s="118"/>
    </row>
    <row r="92">
      <c r="A92" s="92"/>
      <c r="B92" s="92"/>
      <c r="C92" s="118"/>
      <c r="D92" s="118"/>
      <c r="E92" s="118"/>
    </row>
    <row r="93">
      <c r="A93" s="92"/>
      <c r="B93" s="92"/>
      <c r="C93" s="119"/>
      <c r="D93" s="119"/>
      <c r="E93" s="119"/>
    </row>
    <row r="94">
      <c r="A94" s="92"/>
      <c r="B94" s="92"/>
      <c r="C94" s="118"/>
      <c r="D94" s="118"/>
      <c r="E94" s="118"/>
    </row>
    <row r="95">
      <c r="A95" s="92"/>
      <c r="B95" s="92"/>
      <c r="C95" s="119"/>
      <c r="D95" s="119"/>
      <c r="E95" s="119"/>
    </row>
    <row r="96">
      <c r="A96" s="92"/>
      <c r="B96" s="92"/>
      <c r="C96" s="119"/>
      <c r="D96" s="92"/>
      <c r="E96" s="92"/>
    </row>
    <row r="97">
      <c r="A97" s="92"/>
      <c r="B97" s="92"/>
      <c r="C97" s="119"/>
      <c r="D97" s="92"/>
      <c r="E97" s="92"/>
    </row>
  </sheetData>
  <mergeCells count="1">
    <mergeCell ref="B1:K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5A6BD"/>
    <outlinePr summaryBelow="0" summaryRight="0"/>
  </sheetPr>
  <sheetViews>
    <sheetView workbookViewId="0"/>
  </sheetViews>
  <sheetFormatPr customHeight="1" defaultColWidth="12.63" defaultRowHeight="15.75"/>
  <cols>
    <col customWidth="1" min="1" max="1" width="5.25"/>
    <col customWidth="1" min="2" max="2" width="69.75"/>
    <col customWidth="1" min="3" max="7" width="13.0"/>
    <col customWidth="1" min="8" max="8" width="21.75"/>
  </cols>
  <sheetData>
    <row r="1">
      <c r="A1" s="63"/>
      <c r="B1" s="1" t="s">
        <v>0</v>
      </c>
    </row>
    <row r="2">
      <c r="A2" s="63"/>
      <c r="B2" s="63"/>
      <c r="C2" s="64"/>
      <c r="D2" s="65"/>
      <c r="E2" s="65"/>
    </row>
    <row r="3">
      <c r="A3" s="63"/>
      <c r="B3" s="63"/>
      <c r="C3" s="64"/>
      <c r="D3" s="65"/>
      <c r="E3" s="65"/>
    </row>
    <row r="4">
      <c r="A4" s="63"/>
      <c r="B4" s="63" t="s">
        <v>46</v>
      </c>
      <c r="C4" s="64"/>
      <c r="D4" s="65"/>
      <c r="E4" s="65"/>
    </row>
    <row r="5">
      <c r="A5" s="63"/>
      <c r="B5" s="66" t="s">
        <v>21</v>
      </c>
      <c r="C5" s="67">
        <f>'Summary Sheet'!B21</f>
        <v>5000000</v>
      </c>
      <c r="D5" s="63"/>
      <c r="E5" s="65"/>
    </row>
    <row r="6">
      <c r="A6" s="63">
        <v>1.0</v>
      </c>
      <c r="B6" s="68" t="s">
        <v>23</v>
      </c>
      <c r="C6" s="69">
        <f>'Summary Sheet'!B23</f>
        <v>0.1</v>
      </c>
      <c r="D6" s="65"/>
      <c r="E6" s="70"/>
    </row>
    <row r="7">
      <c r="A7" s="63">
        <v>2.0</v>
      </c>
      <c r="B7" s="68" t="s">
        <v>47</v>
      </c>
      <c r="C7" s="69">
        <f>'Summary Sheet'!B24</f>
        <v>0.2</v>
      </c>
      <c r="D7" s="65"/>
      <c r="E7" s="70"/>
    </row>
    <row r="8">
      <c r="A8" s="63">
        <v>3.0</v>
      </c>
      <c r="B8" s="68" t="s">
        <v>48</v>
      </c>
      <c r="C8" s="69">
        <v>0.0012</v>
      </c>
      <c r="D8" s="65"/>
      <c r="E8" s="70"/>
    </row>
    <row r="9">
      <c r="A9" s="63">
        <v>4.0</v>
      </c>
      <c r="B9" s="68" t="s">
        <v>49</v>
      </c>
      <c r="C9" s="69">
        <v>5.0E-4</v>
      </c>
      <c r="D9" s="65"/>
      <c r="E9" s="70"/>
    </row>
    <row r="10">
      <c r="A10" s="63">
        <v>5.0</v>
      </c>
      <c r="B10" s="68" t="s">
        <v>50</v>
      </c>
      <c r="C10" s="69">
        <v>0.18</v>
      </c>
      <c r="D10" s="65"/>
      <c r="E10" s="70"/>
      <c r="H10" s="71"/>
      <c r="I10" s="71"/>
      <c r="J10" s="71"/>
      <c r="K10" s="71"/>
    </row>
    <row r="11">
      <c r="A11" s="63">
        <v>6.0</v>
      </c>
      <c r="B11" s="72" t="s">
        <v>87</v>
      </c>
      <c r="C11" s="73">
        <f>'Summary Sheet'!B22</f>
        <v>0.01</v>
      </c>
      <c r="D11" s="74"/>
      <c r="E11" s="70"/>
    </row>
    <row r="12">
      <c r="A12" s="63"/>
      <c r="B12" s="63"/>
      <c r="C12" s="71"/>
      <c r="D12" s="65"/>
      <c r="E12" s="70"/>
    </row>
    <row r="13">
      <c r="A13" s="63"/>
      <c r="B13" s="63"/>
      <c r="C13" s="71"/>
      <c r="D13" s="65"/>
      <c r="E13" s="75"/>
    </row>
    <row r="14">
      <c r="A14" s="63"/>
      <c r="D14" s="74"/>
      <c r="E14" s="70"/>
    </row>
    <row r="15">
      <c r="A15" s="76"/>
      <c r="B15" s="76"/>
      <c r="C15" s="76"/>
      <c r="D15" s="76"/>
      <c r="E15" s="76"/>
    </row>
    <row r="16">
      <c r="A16" s="76"/>
      <c r="B16" s="17" t="s">
        <v>52</v>
      </c>
      <c r="C16" s="77" t="s">
        <v>26</v>
      </c>
      <c r="D16" s="77" t="s">
        <v>27</v>
      </c>
      <c r="E16" s="77" t="s">
        <v>28</v>
      </c>
      <c r="F16" s="77" t="s">
        <v>29</v>
      </c>
      <c r="G16" s="78" t="s">
        <v>30</v>
      </c>
    </row>
    <row r="17">
      <c r="A17" s="76"/>
      <c r="B17" s="19"/>
      <c r="C17" s="79"/>
      <c r="D17" s="79"/>
      <c r="E17" s="79"/>
      <c r="G17" s="60"/>
    </row>
    <row r="18">
      <c r="A18" s="80" t="s">
        <v>53</v>
      </c>
      <c r="B18" s="81" t="s">
        <v>25</v>
      </c>
      <c r="C18" s="71">
        <f>'Summary Sheet'!B27</f>
        <v>1.084</v>
      </c>
      <c r="D18" s="71">
        <f>'Summary Sheet'!C27</f>
        <v>0.281</v>
      </c>
      <c r="E18" s="71">
        <f>'Summary Sheet'!D27</f>
        <v>0.061</v>
      </c>
      <c r="F18" s="71">
        <f>'Summary Sheet'!E27</f>
        <v>0.4</v>
      </c>
      <c r="G18" s="71">
        <f>'Summary Sheet'!F27</f>
        <v>0.2</v>
      </c>
    </row>
    <row r="19">
      <c r="A19" s="82" t="s">
        <v>54</v>
      </c>
      <c r="B19" s="83" t="s">
        <v>55</v>
      </c>
      <c r="C19" s="84">
        <f>'Summary Sheet'!B28</f>
        <v>0.786</v>
      </c>
      <c r="D19" s="84">
        <f>'Summary Sheet'!C28</f>
        <v>0.223</v>
      </c>
      <c r="E19" s="84">
        <f>'Summary Sheet'!D28</f>
        <v>-0.009</v>
      </c>
      <c r="F19" s="84">
        <f>'Summary Sheet'!E28</f>
        <v>0.402</v>
      </c>
      <c r="G19" s="84">
        <f>'Summary Sheet'!F28</f>
        <v>-0.013</v>
      </c>
    </row>
    <row r="20">
      <c r="A20" s="82" t="s">
        <v>56</v>
      </c>
      <c r="B20" s="83" t="s">
        <v>57</v>
      </c>
      <c r="C20" s="85">
        <f t="shared" ref="C20:G20" si="1">C18-C19</f>
        <v>0.298</v>
      </c>
      <c r="D20" s="85">
        <f t="shared" si="1"/>
        <v>0.058</v>
      </c>
      <c r="E20" s="85">
        <f t="shared" si="1"/>
        <v>0.07</v>
      </c>
      <c r="F20" s="85">
        <f t="shared" si="1"/>
        <v>-0.002</v>
      </c>
      <c r="G20" s="86">
        <f t="shared" si="1"/>
        <v>0.213</v>
      </c>
    </row>
    <row r="21">
      <c r="A21" s="82" t="s">
        <v>58</v>
      </c>
      <c r="B21" s="83" t="s">
        <v>59</v>
      </c>
      <c r="C21" s="87">
        <f>$C$22</f>
        <v>5000000</v>
      </c>
      <c r="D21" s="87">
        <f t="shared" ref="D21:G21" si="2">if(C40&gt;0,max(C21,(C42)),C21)</f>
        <v>9182387.689</v>
      </c>
      <c r="E21" s="87">
        <f t="shared" si="2"/>
        <v>11266504.05</v>
      </c>
      <c r="F21" s="87">
        <f t="shared" si="2"/>
        <v>11266504.05</v>
      </c>
      <c r="G21" s="87">
        <f t="shared" si="2"/>
        <v>15642940.24</v>
      </c>
    </row>
    <row r="22">
      <c r="A22" s="82" t="s">
        <v>60</v>
      </c>
      <c r="B22" s="88" t="s">
        <v>61</v>
      </c>
      <c r="C22" s="62">
        <f>$C$5</f>
        <v>5000000</v>
      </c>
      <c r="D22" s="62">
        <f t="shared" ref="D22:G22" si="3">C42</f>
        <v>9182387.689</v>
      </c>
      <c r="E22" s="62">
        <f t="shared" si="3"/>
        <v>11266504.05</v>
      </c>
      <c r="F22" s="62">
        <f t="shared" si="3"/>
        <v>11802993.48</v>
      </c>
      <c r="G22" s="89">
        <f t="shared" si="3"/>
        <v>15642940.24</v>
      </c>
      <c r="H22" s="43"/>
    </row>
    <row r="23">
      <c r="A23" s="82" t="s">
        <v>62</v>
      </c>
      <c r="B23" s="88" t="s">
        <v>63</v>
      </c>
      <c r="C23" s="62">
        <f t="shared" ref="C23:G23" si="4">C22*C18</f>
        <v>5420000</v>
      </c>
      <c r="D23" s="62">
        <f t="shared" si="4"/>
        <v>2580250.941</v>
      </c>
      <c r="E23" s="62">
        <f t="shared" si="4"/>
        <v>687256.7471</v>
      </c>
      <c r="F23" s="62">
        <f t="shared" si="4"/>
        <v>4721197.39</v>
      </c>
      <c r="G23" s="89">
        <f t="shared" si="4"/>
        <v>3128588.047</v>
      </c>
    </row>
    <row r="24">
      <c r="A24" s="82" t="s">
        <v>64</v>
      </c>
      <c r="B24" s="88" t="s">
        <v>65</v>
      </c>
      <c r="C24" s="62">
        <f t="shared" ref="C24:G24" si="5">C23+C22</f>
        <v>10420000</v>
      </c>
      <c r="D24" s="62">
        <f t="shared" si="5"/>
        <v>11762638.63</v>
      </c>
      <c r="E24" s="62">
        <f t="shared" si="5"/>
        <v>11953760.8</v>
      </c>
      <c r="F24" s="62">
        <f t="shared" si="5"/>
        <v>16524190.87</v>
      </c>
      <c r="G24" s="89">
        <f t="shared" si="5"/>
        <v>18771528.28</v>
      </c>
    </row>
    <row r="25">
      <c r="A25" s="90" t="s">
        <v>66</v>
      </c>
      <c r="B25" s="91" t="s">
        <v>67</v>
      </c>
      <c r="C25" s="62">
        <f t="shared" ref="C25:G25" si="6">(C24+C22)/2</f>
        <v>7710000</v>
      </c>
      <c r="D25" s="62">
        <f t="shared" si="6"/>
        <v>10472513.16</v>
      </c>
      <c r="E25" s="62">
        <f t="shared" si="6"/>
        <v>11610132.42</v>
      </c>
      <c r="F25" s="62">
        <f t="shared" si="6"/>
        <v>14163592.17</v>
      </c>
      <c r="G25" s="89">
        <f t="shared" si="6"/>
        <v>17207234.26</v>
      </c>
    </row>
    <row r="26">
      <c r="A26" s="92"/>
      <c r="B26" s="93"/>
      <c r="C26" s="94"/>
      <c r="D26" s="94"/>
      <c r="E26" s="94"/>
      <c r="F26" s="94"/>
      <c r="G26" s="95"/>
    </row>
    <row r="27">
      <c r="A27" s="82" t="s">
        <v>68</v>
      </c>
      <c r="B27" s="88" t="s">
        <v>69</v>
      </c>
      <c r="C27" s="64">
        <f t="shared" ref="C27:G27" si="7">C25*$C$8</f>
        <v>9252</v>
      </c>
      <c r="D27" s="64">
        <f t="shared" si="7"/>
        <v>12567.01579</v>
      </c>
      <c r="E27" s="64">
        <f t="shared" si="7"/>
        <v>13932.15891</v>
      </c>
      <c r="F27" s="64">
        <f t="shared" si="7"/>
        <v>16996.3106</v>
      </c>
      <c r="G27" s="96">
        <f t="shared" si="7"/>
        <v>20648.68111</v>
      </c>
    </row>
    <row r="28">
      <c r="A28" s="97"/>
      <c r="B28" s="98"/>
      <c r="C28" s="99"/>
      <c r="D28" s="99"/>
      <c r="E28" s="99"/>
      <c r="F28" s="99"/>
      <c r="G28" s="100"/>
      <c r="H28" s="101"/>
    </row>
    <row r="29">
      <c r="A29" s="82" t="s">
        <v>70</v>
      </c>
      <c r="B29" s="88" t="s">
        <v>71</v>
      </c>
      <c r="C29" s="64">
        <f t="shared" ref="C29:G29" si="8">(C25-C27)*$C$11*(1+$C$10)</f>
        <v>90868.8264</v>
      </c>
      <c r="D29" s="64">
        <f t="shared" si="8"/>
        <v>123427.3645</v>
      </c>
      <c r="E29" s="64">
        <f t="shared" si="8"/>
        <v>136835.1631</v>
      </c>
      <c r="F29" s="64">
        <f t="shared" si="8"/>
        <v>166929.8311</v>
      </c>
      <c r="G29" s="96">
        <f t="shared" si="8"/>
        <v>202801.7098</v>
      </c>
    </row>
    <row r="30">
      <c r="A30" s="97"/>
      <c r="B30" s="98"/>
      <c r="C30" s="64"/>
      <c r="D30" s="64"/>
      <c r="E30" s="64"/>
      <c r="F30" s="64"/>
      <c r="G30" s="96"/>
    </row>
    <row r="31">
      <c r="A31" s="82" t="s">
        <v>72</v>
      </c>
      <c r="B31" s="88" t="s">
        <v>73</v>
      </c>
      <c r="C31" s="64">
        <f t="shared" ref="C31:G31" si="9">C24-C27-C29</f>
        <v>10319879.17</v>
      </c>
      <c r="D31" s="64">
        <f t="shared" si="9"/>
        <v>11626644.25</v>
      </c>
      <c r="E31" s="64">
        <f t="shared" si="9"/>
        <v>11802993.48</v>
      </c>
      <c r="F31" s="64">
        <f t="shared" si="9"/>
        <v>16340264.72</v>
      </c>
      <c r="G31" s="96">
        <f t="shared" si="9"/>
        <v>18548077.89</v>
      </c>
    </row>
    <row r="32">
      <c r="A32" s="92"/>
      <c r="B32" s="93"/>
      <c r="G32" s="60"/>
    </row>
    <row r="33">
      <c r="A33" s="82" t="s">
        <v>74</v>
      </c>
      <c r="B33" s="102" t="s">
        <v>75</v>
      </c>
      <c r="C33" s="103">
        <f t="shared" ref="C33:G33" si="10">C31/C21-1</f>
        <v>1.063975835</v>
      </c>
      <c r="D33" s="103">
        <f t="shared" si="10"/>
        <v>0.2661896495</v>
      </c>
      <c r="E33" s="103">
        <f t="shared" si="10"/>
        <v>0.04761809188</v>
      </c>
      <c r="F33" s="103">
        <f t="shared" si="10"/>
        <v>0.4503402875</v>
      </c>
      <c r="G33" s="104">
        <f t="shared" si="10"/>
        <v>0.185715576</v>
      </c>
    </row>
    <row r="34">
      <c r="A34" s="105" t="s">
        <v>76</v>
      </c>
      <c r="B34" s="106" t="s">
        <v>77</v>
      </c>
      <c r="C34" s="85">
        <f>$C$6</f>
        <v>0.1</v>
      </c>
      <c r="D34" s="85">
        <f t="shared" ref="D34:G34" si="11">if(C38&gt;0%,$C$6,C34+$C$6)</f>
        <v>0.1</v>
      </c>
      <c r="E34" s="85">
        <f t="shared" si="11"/>
        <v>0.1</v>
      </c>
      <c r="F34" s="85">
        <f t="shared" si="11"/>
        <v>0.2</v>
      </c>
      <c r="G34" s="86">
        <f t="shared" si="11"/>
        <v>0.1</v>
      </c>
    </row>
    <row r="35">
      <c r="A35" s="97"/>
      <c r="B35" s="93"/>
      <c r="G35" s="60"/>
    </row>
    <row r="36">
      <c r="A36" s="82" t="s">
        <v>78</v>
      </c>
      <c r="B36" s="88" t="s">
        <v>79</v>
      </c>
      <c r="C36" s="103">
        <f t="shared" ref="C36:G36" si="12">if(C33-C34&lt;0,0,C33-C34)</f>
        <v>0.9639758347</v>
      </c>
      <c r="D36" s="103">
        <f t="shared" si="12"/>
        <v>0.1661896495</v>
      </c>
      <c r="E36" s="103">
        <f t="shared" si="12"/>
        <v>0</v>
      </c>
      <c r="F36" s="103">
        <f t="shared" si="12"/>
        <v>0.2503402875</v>
      </c>
      <c r="G36" s="104">
        <f t="shared" si="12"/>
        <v>0.085715576</v>
      </c>
    </row>
    <row r="37">
      <c r="A37" s="92"/>
      <c r="B37" s="93"/>
      <c r="C37" s="103"/>
      <c r="D37" s="103"/>
      <c r="E37" s="103"/>
      <c r="F37" s="103"/>
      <c r="G37" s="104"/>
    </row>
    <row r="38">
      <c r="A38" s="82" t="s">
        <v>80</v>
      </c>
      <c r="B38" s="88" t="s">
        <v>81</v>
      </c>
      <c r="C38" s="103">
        <f t="shared" ref="C38:G38" si="13">C36*($C$7*(1+$C10))</f>
        <v>0.227498297</v>
      </c>
      <c r="D38" s="103">
        <f t="shared" si="13"/>
        <v>0.03922075728</v>
      </c>
      <c r="E38" s="103">
        <f t="shared" si="13"/>
        <v>0</v>
      </c>
      <c r="F38" s="103">
        <f t="shared" si="13"/>
        <v>0.05908030786</v>
      </c>
      <c r="G38" s="104">
        <f t="shared" si="13"/>
        <v>0.02022887594</v>
      </c>
    </row>
    <row r="39">
      <c r="A39" s="92"/>
      <c r="B39" s="93"/>
      <c r="C39" s="107"/>
      <c r="D39" s="107"/>
      <c r="E39" s="107"/>
      <c r="F39" s="108"/>
      <c r="G39" s="109"/>
      <c r="L39" s="107"/>
    </row>
    <row r="40">
      <c r="A40" s="110" t="s">
        <v>82</v>
      </c>
      <c r="B40" s="47" t="s">
        <v>83</v>
      </c>
      <c r="C40" s="62">
        <f t="shared" ref="C40:G40" si="14">C38*C22</f>
        <v>1137491.485</v>
      </c>
      <c r="D40" s="62">
        <f t="shared" si="14"/>
        <v>360140.1988</v>
      </c>
      <c r="E40" s="62">
        <f t="shared" si="14"/>
        <v>0</v>
      </c>
      <c r="F40" s="62">
        <f t="shared" si="14"/>
        <v>697324.4881</v>
      </c>
      <c r="G40" s="89">
        <f t="shared" si="14"/>
        <v>316439.0973</v>
      </c>
      <c r="L40" s="107"/>
    </row>
    <row r="41">
      <c r="A41" s="111"/>
      <c r="B41" s="112"/>
      <c r="C41" s="62"/>
      <c r="D41" s="62"/>
      <c r="E41" s="62"/>
      <c r="F41" s="62"/>
      <c r="G41" s="89"/>
      <c r="L41" s="107"/>
    </row>
    <row r="42">
      <c r="A42" s="110" t="s">
        <v>84</v>
      </c>
      <c r="B42" s="47" t="s">
        <v>85</v>
      </c>
      <c r="C42" s="62">
        <f t="shared" ref="C42:G42" si="15">C31-C40</f>
        <v>9182387.689</v>
      </c>
      <c r="D42" s="62">
        <f t="shared" si="15"/>
        <v>11266504.05</v>
      </c>
      <c r="E42" s="62">
        <f t="shared" si="15"/>
        <v>11802993.48</v>
      </c>
      <c r="F42" s="62">
        <f t="shared" si="15"/>
        <v>15642940.24</v>
      </c>
      <c r="G42" s="89">
        <f t="shared" si="15"/>
        <v>18231638.79</v>
      </c>
      <c r="H42" s="43">
        <f>(G42/C21)^(1/5)-1</f>
        <v>0.2953023121</v>
      </c>
      <c r="L42" s="107"/>
    </row>
    <row r="43">
      <c r="B43" s="113"/>
      <c r="F43" s="42"/>
      <c r="G43" s="114"/>
      <c r="L43" s="107"/>
    </row>
    <row r="44">
      <c r="A44" s="111"/>
      <c r="B44" s="54" t="s">
        <v>86</v>
      </c>
      <c r="C44" s="115">
        <f t="shared" ref="C44:G44" si="16">C42/C22-1</f>
        <v>0.8364775377</v>
      </c>
      <c r="D44" s="115">
        <f t="shared" si="16"/>
        <v>0.2269688922</v>
      </c>
      <c r="E44" s="115">
        <f t="shared" si="16"/>
        <v>0.04761809188</v>
      </c>
      <c r="F44" s="115">
        <f t="shared" si="16"/>
        <v>0.3253366841</v>
      </c>
      <c r="G44" s="116">
        <f t="shared" si="16"/>
        <v>0.1654867001</v>
      </c>
      <c r="L44" s="107"/>
    </row>
    <row r="45">
      <c r="L45" s="107"/>
    </row>
    <row r="46">
      <c r="A46" s="111"/>
      <c r="B46" s="111"/>
      <c r="C46" s="43"/>
      <c r="D46" s="43"/>
      <c r="E46" s="43"/>
      <c r="F46" s="43"/>
      <c r="G46" s="43"/>
      <c r="L46" s="107"/>
    </row>
    <row r="47">
      <c r="L47" s="107"/>
    </row>
    <row r="48">
      <c r="A48" s="111"/>
      <c r="B48" s="111"/>
      <c r="C48" s="94"/>
      <c r="D48" s="94"/>
      <c r="E48" s="94"/>
      <c r="F48" s="94"/>
      <c r="G48" s="94"/>
    </row>
    <row r="50">
      <c r="A50" s="111"/>
      <c r="B50" s="111"/>
      <c r="C50" s="94"/>
      <c r="D50" s="94"/>
      <c r="E50" s="94"/>
      <c r="F50" s="94"/>
      <c r="G50" s="94"/>
    </row>
    <row r="52">
      <c r="A52" s="111"/>
      <c r="B52" s="111"/>
      <c r="C52" s="94"/>
      <c r="D52" s="94"/>
      <c r="E52" s="94"/>
      <c r="F52" s="94"/>
      <c r="G52" s="94"/>
    </row>
    <row r="54">
      <c r="A54" s="111"/>
      <c r="B54" s="111"/>
    </row>
    <row r="56">
      <c r="B56" s="111"/>
    </row>
    <row r="57">
      <c r="B57" s="111"/>
      <c r="E57" s="42"/>
      <c r="F57" s="42"/>
      <c r="G57" s="42"/>
    </row>
    <row r="58">
      <c r="B58" s="111"/>
      <c r="C58" s="42"/>
      <c r="D58" s="42"/>
      <c r="E58" s="42"/>
      <c r="F58" s="42"/>
      <c r="G58" s="42"/>
    </row>
    <row r="59">
      <c r="B59" s="111"/>
    </row>
    <row r="60">
      <c r="B60" s="111"/>
    </row>
    <row r="62">
      <c r="B62" s="111"/>
    </row>
    <row r="64">
      <c r="B64" s="111"/>
    </row>
    <row r="66">
      <c r="B66" s="111"/>
      <c r="C66" s="43"/>
      <c r="D66" s="43"/>
      <c r="E66" s="43"/>
      <c r="F66" s="43"/>
      <c r="G66" s="43"/>
    </row>
    <row r="68">
      <c r="E68" s="43"/>
    </row>
    <row r="72">
      <c r="B72" s="111"/>
      <c r="C72" s="62"/>
      <c r="D72" s="62"/>
      <c r="E72" s="62"/>
      <c r="F72" s="62"/>
      <c r="H72" s="117"/>
    </row>
    <row r="73">
      <c r="A73" s="111"/>
      <c r="B73" s="111"/>
      <c r="C73" s="62"/>
      <c r="D73" s="43"/>
      <c r="E73" s="43"/>
      <c r="I73" s="43"/>
    </row>
    <row r="74">
      <c r="B74" s="111"/>
      <c r="C74" s="94"/>
      <c r="D74" s="62"/>
      <c r="E74" s="43"/>
      <c r="J74" s="43"/>
    </row>
    <row r="75">
      <c r="B75" s="111"/>
      <c r="C75" s="43"/>
      <c r="D75" s="43"/>
      <c r="E75" s="43"/>
      <c r="F75" s="43"/>
      <c r="G75" s="43"/>
      <c r="H75" s="117"/>
      <c r="J75" s="43"/>
    </row>
    <row r="76">
      <c r="B76" s="111"/>
      <c r="C76" s="62"/>
      <c r="D76" s="62"/>
      <c r="E76" s="62"/>
    </row>
    <row r="77">
      <c r="B77" s="111"/>
      <c r="C77" s="43"/>
      <c r="D77" s="62"/>
      <c r="E77" s="62"/>
    </row>
    <row r="78">
      <c r="A78" s="111"/>
      <c r="B78" s="111"/>
      <c r="C78" s="62"/>
      <c r="D78" s="62"/>
      <c r="E78" s="62"/>
    </row>
    <row r="79">
      <c r="A79" s="111"/>
      <c r="B79" s="111"/>
      <c r="C79" s="62"/>
      <c r="D79" s="62"/>
      <c r="E79" s="62"/>
    </row>
    <row r="80">
      <c r="C80" s="62"/>
      <c r="D80" s="62"/>
      <c r="E80" s="62"/>
    </row>
    <row r="81">
      <c r="C81" s="111"/>
      <c r="D81" s="111"/>
      <c r="E81" s="111"/>
    </row>
    <row r="82">
      <c r="A82" s="111"/>
      <c r="B82" s="111"/>
      <c r="C82" s="117"/>
      <c r="D82" s="117"/>
      <c r="E82" s="117"/>
    </row>
    <row r="84">
      <c r="A84" s="92"/>
      <c r="B84" s="92"/>
      <c r="C84" s="118"/>
      <c r="D84" s="118"/>
      <c r="E84" s="118"/>
    </row>
    <row r="85">
      <c r="A85" s="92"/>
      <c r="B85" s="92"/>
      <c r="C85" s="119"/>
      <c r="D85" s="119"/>
      <c r="E85" s="119"/>
    </row>
    <row r="86">
      <c r="A86" s="120"/>
      <c r="B86" s="120"/>
      <c r="C86" s="121"/>
      <c r="D86" s="121"/>
      <c r="E86" s="121"/>
    </row>
    <row r="87">
      <c r="A87" s="92"/>
      <c r="B87" s="92"/>
      <c r="C87" s="118"/>
      <c r="D87" s="118"/>
      <c r="E87" s="118"/>
    </row>
    <row r="88">
      <c r="A88" s="92"/>
      <c r="B88" s="92"/>
      <c r="C88" s="118"/>
      <c r="D88" s="118"/>
      <c r="E88" s="118"/>
    </row>
    <row r="89">
      <c r="A89" s="92"/>
      <c r="B89" s="92"/>
      <c r="C89" s="118"/>
      <c r="D89" s="118"/>
      <c r="E89" s="118"/>
    </row>
    <row r="90">
      <c r="A90" s="92"/>
      <c r="B90" s="92"/>
      <c r="C90" s="92"/>
      <c r="D90" s="92"/>
      <c r="E90" s="92"/>
    </row>
    <row r="91">
      <c r="A91" s="92"/>
      <c r="B91" s="92"/>
      <c r="C91" s="118"/>
      <c r="D91" s="118"/>
      <c r="E91" s="118"/>
    </row>
    <row r="92">
      <c r="A92" s="92"/>
      <c r="B92" s="92"/>
      <c r="C92" s="118"/>
      <c r="D92" s="118"/>
      <c r="E92" s="118"/>
    </row>
    <row r="93">
      <c r="A93" s="92"/>
      <c r="B93" s="92"/>
      <c r="C93" s="119"/>
      <c r="D93" s="119"/>
      <c r="E93" s="119"/>
    </row>
    <row r="94">
      <c r="A94" s="92"/>
      <c r="B94" s="92"/>
      <c r="C94" s="118"/>
      <c r="D94" s="118"/>
      <c r="E94" s="118"/>
    </row>
    <row r="95">
      <c r="A95" s="92"/>
      <c r="B95" s="92"/>
      <c r="C95" s="119"/>
      <c r="D95" s="119"/>
      <c r="E95" s="119"/>
    </row>
    <row r="96">
      <c r="A96" s="92"/>
      <c r="B96" s="92"/>
      <c r="C96" s="119"/>
      <c r="D96" s="92"/>
      <c r="E96" s="92"/>
    </row>
    <row r="97">
      <c r="A97" s="92"/>
      <c r="B97" s="92"/>
      <c r="C97" s="119"/>
      <c r="D97" s="92"/>
      <c r="E97" s="92"/>
    </row>
  </sheetData>
  <mergeCells count="1">
    <mergeCell ref="B1:K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5A6BD"/>
    <outlinePr summaryBelow="0" summaryRight="0"/>
  </sheetPr>
  <sheetViews>
    <sheetView workbookViewId="0"/>
  </sheetViews>
  <sheetFormatPr customHeight="1" defaultColWidth="12.63" defaultRowHeight="15.75"/>
  <cols>
    <col customWidth="1" min="1" max="1" width="5.25"/>
    <col customWidth="1" min="2" max="2" width="69.75"/>
    <col customWidth="1" min="3" max="7" width="13.0"/>
    <col customWidth="1" min="8" max="8" width="21.75"/>
  </cols>
  <sheetData>
    <row r="1">
      <c r="A1" s="63"/>
      <c r="B1" s="1" t="s">
        <v>0</v>
      </c>
    </row>
    <row r="2">
      <c r="A2" s="63"/>
      <c r="B2" s="63"/>
      <c r="C2" s="64"/>
      <c r="D2" s="65"/>
      <c r="E2" s="65"/>
    </row>
    <row r="3">
      <c r="A3" s="63"/>
      <c r="B3" s="63"/>
      <c r="C3" s="64"/>
      <c r="D3" s="65"/>
      <c r="E3" s="65"/>
    </row>
    <row r="4">
      <c r="A4" s="63"/>
      <c r="B4" s="63" t="s">
        <v>46</v>
      </c>
      <c r="C4" s="64"/>
      <c r="D4" s="65"/>
      <c r="E4" s="65"/>
    </row>
    <row r="5">
      <c r="A5" s="63"/>
      <c r="B5" s="66" t="s">
        <v>21</v>
      </c>
      <c r="C5" s="67">
        <f>'Summary Sheet'!B21</f>
        <v>5000000</v>
      </c>
      <c r="D5" s="63"/>
      <c r="E5" s="65"/>
    </row>
    <row r="6">
      <c r="A6" s="63">
        <v>1.0</v>
      </c>
      <c r="B6" s="68" t="s">
        <v>23</v>
      </c>
      <c r="C6" s="69">
        <f>'Summary Sheet'!B23</f>
        <v>0.1</v>
      </c>
      <c r="D6" s="65"/>
      <c r="E6" s="70"/>
    </row>
    <row r="7">
      <c r="A7" s="63">
        <v>2.0</v>
      </c>
      <c r="B7" s="68" t="s">
        <v>47</v>
      </c>
      <c r="C7" s="69">
        <f>'Summary Sheet'!B24</f>
        <v>0.2</v>
      </c>
      <c r="D7" s="65"/>
      <c r="E7" s="70"/>
    </row>
    <row r="8">
      <c r="A8" s="63">
        <v>3.0</v>
      </c>
      <c r="B8" s="68" t="s">
        <v>48</v>
      </c>
      <c r="C8" s="69">
        <v>0.0012</v>
      </c>
      <c r="D8" s="65"/>
      <c r="E8" s="70"/>
    </row>
    <row r="9">
      <c r="A9" s="63">
        <v>4.0</v>
      </c>
      <c r="B9" s="68" t="s">
        <v>49</v>
      </c>
      <c r="C9" s="69">
        <v>5.0E-4</v>
      </c>
      <c r="D9" s="65"/>
      <c r="E9" s="70"/>
    </row>
    <row r="10">
      <c r="A10" s="63">
        <v>5.0</v>
      </c>
      <c r="B10" s="68" t="s">
        <v>50</v>
      </c>
      <c r="C10" s="69">
        <v>0.18</v>
      </c>
      <c r="D10" s="65"/>
      <c r="E10" s="70"/>
      <c r="H10" s="71"/>
      <c r="I10" s="71"/>
      <c r="J10" s="71"/>
      <c r="K10" s="71"/>
    </row>
    <row r="11">
      <c r="A11" s="63">
        <v>6.0</v>
      </c>
      <c r="B11" s="72" t="s">
        <v>88</v>
      </c>
      <c r="C11" s="73">
        <f>'Summary Sheet'!B22</f>
        <v>0.01</v>
      </c>
      <c r="D11" s="74"/>
      <c r="E11" s="70"/>
    </row>
    <row r="12">
      <c r="A12" s="63"/>
      <c r="B12" s="63"/>
      <c r="C12" s="71"/>
      <c r="D12" s="65"/>
      <c r="E12" s="70"/>
    </row>
    <row r="13">
      <c r="A13" s="63"/>
      <c r="B13" s="63"/>
      <c r="C13" s="71"/>
      <c r="D13" s="65"/>
      <c r="E13" s="75"/>
    </row>
    <row r="14">
      <c r="A14" s="63"/>
      <c r="D14" s="74"/>
      <c r="E14" s="70"/>
    </row>
    <row r="15">
      <c r="A15" s="76"/>
      <c r="B15" s="76"/>
      <c r="C15" s="76"/>
      <c r="D15" s="76"/>
      <c r="E15" s="76"/>
    </row>
    <row r="16">
      <c r="A16" s="76"/>
      <c r="B16" s="17" t="s">
        <v>52</v>
      </c>
      <c r="C16" s="77" t="s">
        <v>26</v>
      </c>
      <c r="D16" s="77" t="s">
        <v>27</v>
      </c>
      <c r="E16" s="77" t="s">
        <v>28</v>
      </c>
      <c r="F16" s="77" t="s">
        <v>29</v>
      </c>
      <c r="G16" s="78" t="s">
        <v>30</v>
      </c>
    </row>
    <row r="17">
      <c r="A17" s="76"/>
      <c r="B17" s="19"/>
      <c r="C17" s="79"/>
      <c r="D17" s="79"/>
      <c r="E17" s="79"/>
      <c r="G17" s="60"/>
    </row>
    <row r="18">
      <c r="A18" s="80" t="s">
        <v>53</v>
      </c>
      <c r="B18" s="81" t="s">
        <v>25</v>
      </c>
      <c r="C18" s="71">
        <f>'Summary Sheet'!B27</f>
        <v>1.084</v>
      </c>
      <c r="D18" s="71">
        <f>'Summary Sheet'!C27</f>
        <v>0.281</v>
      </c>
      <c r="E18" s="71">
        <f>'Summary Sheet'!D27</f>
        <v>0.061</v>
      </c>
      <c r="F18" s="71">
        <f>'Summary Sheet'!E27</f>
        <v>0.4</v>
      </c>
      <c r="G18" s="71">
        <f>'Summary Sheet'!F27</f>
        <v>0.2</v>
      </c>
    </row>
    <row r="19">
      <c r="A19" s="82" t="s">
        <v>54</v>
      </c>
      <c r="B19" s="83" t="s">
        <v>55</v>
      </c>
      <c r="C19" s="84">
        <f>'Summary Sheet'!B28</f>
        <v>0.786</v>
      </c>
      <c r="D19" s="84">
        <f>'Summary Sheet'!C28</f>
        <v>0.223</v>
      </c>
      <c r="E19" s="84">
        <f>'Summary Sheet'!D28</f>
        <v>-0.009</v>
      </c>
      <c r="F19" s="84">
        <f>'Summary Sheet'!E28</f>
        <v>0.402</v>
      </c>
      <c r="G19" s="84">
        <f>'Summary Sheet'!F28</f>
        <v>-0.013</v>
      </c>
    </row>
    <row r="20">
      <c r="A20" s="82" t="s">
        <v>56</v>
      </c>
      <c r="B20" s="83" t="s">
        <v>57</v>
      </c>
      <c r="C20" s="85">
        <f t="shared" ref="C20:G20" si="1">C18-C19</f>
        <v>0.298</v>
      </c>
      <c r="D20" s="85">
        <f t="shared" si="1"/>
        <v>0.058</v>
      </c>
      <c r="E20" s="85">
        <f t="shared" si="1"/>
        <v>0.07</v>
      </c>
      <c r="F20" s="85">
        <f t="shared" si="1"/>
        <v>-0.002</v>
      </c>
      <c r="G20" s="86">
        <f t="shared" si="1"/>
        <v>0.213</v>
      </c>
    </row>
    <row r="21">
      <c r="A21" s="82" t="s">
        <v>58</v>
      </c>
      <c r="B21" s="83" t="s">
        <v>59</v>
      </c>
      <c r="C21" s="87">
        <f>$C$22</f>
        <v>5000000</v>
      </c>
      <c r="D21" s="87">
        <f t="shared" ref="D21:G21" si="2">if(C40&gt;0,max(C21,(C31)),C21)</f>
        <v>10319879.17</v>
      </c>
      <c r="E21" s="87">
        <f t="shared" si="2"/>
        <v>11626644.25</v>
      </c>
      <c r="F21" s="87">
        <f t="shared" si="2"/>
        <v>11626644.25</v>
      </c>
      <c r="G21" s="122">
        <f t="shared" si="2"/>
        <v>16778906.35</v>
      </c>
    </row>
    <row r="22">
      <c r="A22" s="82" t="s">
        <v>60</v>
      </c>
      <c r="B22" s="88" t="s">
        <v>61</v>
      </c>
      <c r="C22" s="62">
        <f>$C$5</f>
        <v>5000000</v>
      </c>
      <c r="D22" s="62">
        <f t="shared" ref="D22:G22" si="3">C42</f>
        <v>9182387.689</v>
      </c>
      <c r="E22" s="62">
        <f t="shared" si="3"/>
        <v>11568944.54</v>
      </c>
      <c r="F22" s="62">
        <f t="shared" si="3"/>
        <v>12119835.6</v>
      </c>
      <c r="G22" s="89">
        <f t="shared" si="3"/>
        <v>16083449.96</v>
      </c>
      <c r="H22" s="43"/>
    </row>
    <row r="23">
      <c r="A23" s="82" t="s">
        <v>62</v>
      </c>
      <c r="B23" s="88" t="s">
        <v>63</v>
      </c>
      <c r="C23" s="62">
        <f t="shared" ref="C23:G23" si="4">C22*C18</f>
        <v>5420000</v>
      </c>
      <c r="D23" s="62">
        <f t="shared" si="4"/>
        <v>2580250.941</v>
      </c>
      <c r="E23" s="62">
        <f t="shared" si="4"/>
        <v>705705.6168</v>
      </c>
      <c r="F23" s="62">
        <f t="shared" si="4"/>
        <v>4847934.24</v>
      </c>
      <c r="G23" s="89">
        <f t="shared" si="4"/>
        <v>3216689.991</v>
      </c>
    </row>
    <row r="24">
      <c r="A24" s="82" t="s">
        <v>64</v>
      </c>
      <c r="B24" s="88" t="s">
        <v>65</v>
      </c>
      <c r="C24" s="62">
        <f t="shared" ref="C24:G24" si="5">C23+C22</f>
        <v>10420000</v>
      </c>
      <c r="D24" s="62">
        <f t="shared" si="5"/>
        <v>11762638.63</v>
      </c>
      <c r="E24" s="62">
        <f t="shared" si="5"/>
        <v>12274650.15</v>
      </c>
      <c r="F24" s="62">
        <f t="shared" si="5"/>
        <v>16967769.84</v>
      </c>
      <c r="G24" s="89">
        <f t="shared" si="5"/>
        <v>19300139.95</v>
      </c>
    </row>
    <row r="25">
      <c r="A25" s="90" t="s">
        <v>66</v>
      </c>
      <c r="B25" s="91" t="s">
        <v>67</v>
      </c>
      <c r="C25" s="62">
        <f t="shared" ref="C25:G25" si="6">(C24+C22)/2</f>
        <v>7710000</v>
      </c>
      <c r="D25" s="62">
        <f t="shared" si="6"/>
        <v>10472513.16</v>
      </c>
      <c r="E25" s="62">
        <f t="shared" si="6"/>
        <v>11921797.35</v>
      </c>
      <c r="F25" s="62">
        <f t="shared" si="6"/>
        <v>14543802.72</v>
      </c>
      <c r="G25" s="89">
        <f t="shared" si="6"/>
        <v>17691794.95</v>
      </c>
    </row>
    <row r="26">
      <c r="A26" s="92"/>
      <c r="B26" s="93"/>
      <c r="C26" s="94"/>
      <c r="D26" s="94"/>
      <c r="E26" s="94"/>
      <c r="F26" s="94"/>
      <c r="G26" s="95"/>
    </row>
    <row r="27">
      <c r="A27" s="82" t="s">
        <v>68</v>
      </c>
      <c r="B27" s="88" t="s">
        <v>69</v>
      </c>
      <c r="C27" s="64">
        <f t="shared" ref="C27:G27" si="7">C25*$C$8</f>
        <v>9252</v>
      </c>
      <c r="D27" s="64">
        <f t="shared" si="7"/>
        <v>12567.01579</v>
      </c>
      <c r="E27" s="64">
        <f t="shared" si="7"/>
        <v>14306.15681</v>
      </c>
      <c r="F27" s="64">
        <f t="shared" si="7"/>
        <v>17452.56327</v>
      </c>
      <c r="G27" s="96">
        <f t="shared" si="7"/>
        <v>21230.15394</v>
      </c>
    </row>
    <row r="28">
      <c r="A28" s="97"/>
      <c r="B28" s="98"/>
      <c r="C28" s="99"/>
      <c r="D28" s="99"/>
      <c r="E28" s="99"/>
      <c r="F28" s="99"/>
      <c r="G28" s="100"/>
      <c r="H28" s="101"/>
    </row>
    <row r="29">
      <c r="A29" s="82" t="s">
        <v>70</v>
      </c>
      <c r="B29" s="88" t="s">
        <v>71</v>
      </c>
      <c r="C29" s="64">
        <f t="shared" ref="C29:G29" si="8">(C25-C27)*$C$11*(1+$C$10)</f>
        <v>90868.8264</v>
      </c>
      <c r="D29" s="64">
        <f t="shared" si="8"/>
        <v>123427.3645</v>
      </c>
      <c r="E29" s="64">
        <f t="shared" si="8"/>
        <v>140508.396</v>
      </c>
      <c r="F29" s="64">
        <f t="shared" si="8"/>
        <v>171410.9319</v>
      </c>
      <c r="G29" s="96">
        <f t="shared" si="8"/>
        <v>208512.6646</v>
      </c>
    </row>
    <row r="30">
      <c r="A30" s="97"/>
      <c r="B30" s="98"/>
      <c r="C30" s="64"/>
      <c r="D30" s="64"/>
      <c r="E30" s="64"/>
      <c r="F30" s="64"/>
      <c r="G30" s="96"/>
    </row>
    <row r="31">
      <c r="A31" s="82" t="s">
        <v>72</v>
      </c>
      <c r="B31" s="88" t="s">
        <v>73</v>
      </c>
      <c r="C31" s="64">
        <f t="shared" ref="C31:G31" si="9">C24-C27-C29</f>
        <v>10319879.17</v>
      </c>
      <c r="D31" s="64">
        <f t="shared" si="9"/>
        <v>11626644.25</v>
      </c>
      <c r="E31" s="64">
        <f t="shared" si="9"/>
        <v>12119835.6</v>
      </c>
      <c r="F31" s="64">
        <f t="shared" si="9"/>
        <v>16778906.35</v>
      </c>
      <c r="G31" s="96">
        <f t="shared" si="9"/>
        <v>19070397.13</v>
      </c>
    </row>
    <row r="32">
      <c r="A32" s="92"/>
      <c r="B32" s="93"/>
      <c r="G32" s="60"/>
    </row>
    <row r="33">
      <c r="A33" s="82" t="s">
        <v>74</v>
      </c>
      <c r="B33" s="102" t="s">
        <v>75</v>
      </c>
      <c r="C33" s="103">
        <f t="shared" ref="C33:G33" si="10">C31/C21-1</f>
        <v>1.063975835</v>
      </c>
      <c r="D33" s="103">
        <f t="shared" si="10"/>
        <v>0.1266260053</v>
      </c>
      <c r="E33" s="103">
        <f t="shared" si="10"/>
        <v>0.04241906278</v>
      </c>
      <c r="F33" s="103">
        <f t="shared" si="10"/>
        <v>0.4431426633</v>
      </c>
      <c r="G33" s="104">
        <f t="shared" si="10"/>
        <v>0.1365697344</v>
      </c>
    </row>
    <row r="34">
      <c r="A34" s="105" t="s">
        <v>76</v>
      </c>
      <c r="B34" s="106" t="s">
        <v>77</v>
      </c>
      <c r="C34" s="85">
        <f>$C$6</f>
        <v>0.1</v>
      </c>
      <c r="D34" s="85">
        <f t="shared" ref="D34:G34" si="11">if(C38&gt;0%,$C$6,C34+$C$6)</f>
        <v>0.1</v>
      </c>
      <c r="E34" s="85">
        <f t="shared" si="11"/>
        <v>0.1</v>
      </c>
      <c r="F34" s="85">
        <f t="shared" si="11"/>
        <v>0.2</v>
      </c>
      <c r="G34" s="86">
        <f t="shared" si="11"/>
        <v>0.1</v>
      </c>
    </row>
    <row r="35">
      <c r="A35" s="97"/>
      <c r="B35" s="93"/>
      <c r="G35" s="60"/>
    </row>
    <row r="36">
      <c r="A36" s="82" t="s">
        <v>78</v>
      </c>
      <c r="B36" s="88" t="s">
        <v>79</v>
      </c>
      <c r="C36" s="103">
        <f t="shared" ref="C36:G36" si="12">if(C33-C34&lt;0,0,C33-C34)</f>
        <v>0.9639758347</v>
      </c>
      <c r="D36" s="103">
        <f t="shared" si="12"/>
        <v>0.02662600533</v>
      </c>
      <c r="E36" s="103">
        <f t="shared" si="12"/>
        <v>0</v>
      </c>
      <c r="F36" s="103">
        <f t="shared" si="12"/>
        <v>0.2431426633</v>
      </c>
      <c r="G36" s="104">
        <f t="shared" si="12"/>
        <v>0.03656973443</v>
      </c>
    </row>
    <row r="37">
      <c r="A37" s="92"/>
      <c r="B37" s="93"/>
      <c r="C37" s="103"/>
      <c r="D37" s="103"/>
      <c r="E37" s="103"/>
      <c r="F37" s="103"/>
      <c r="G37" s="104"/>
    </row>
    <row r="38">
      <c r="A38" s="82" t="s">
        <v>80</v>
      </c>
      <c r="B38" s="88" t="s">
        <v>81</v>
      </c>
      <c r="C38" s="103">
        <f t="shared" ref="C38:G38" si="13">C36*($C$7*(1+$C10))</f>
        <v>0.227498297</v>
      </c>
      <c r="D38" s="103">
        <f t="shared" si="13"/>
        <v>0.006283737258</v>
      </c>
      <c r="E38" s="103">
        <f t="shared" si="13"/>
        <v>0</v>
      </c>
      <c r="F38" s="103">
        <f t="shared" si="13"/>
        <v>0.05738166854</v>
      </c>
      <c r="G38" s="104">
        <f t="shared" si="13"/>
        <v>0.008630457324</v>
      </c>
    </row>
    <row r="39">
      <c r="A39" s="92"/>
      <c r="B39" s="93"/>
      <c r="C39" s="107"/>
      <c r="D39" s="107"/>
      <c r="E39" s="107"/>
      <c r="F39" s="108"/>
      <c r="G39" s="109"/>
      <c r="L39" s="107"/>
    </row>
    <row r="40">
      <c r="A40" s="110" t="s">
        <v>82</v>
      </c>
      <c r="B40" s="47" t="s">
        <v>83</v>
      </c>
      <c r="C40" s="62">
        <f t="shared" ref="C40:G40" si="14">C38*C22</f>
        <v>1137491.485</v>
      </c>
      <c r="D40" s="62">
        <f t="shared" si="14"/>
        <v>57699.71164</v>
      </c>
      <c r="E40" s="62">
        <f t="shared" si="14"/>
        <v>0</v>
      </c>
      <c r="F40" s="62">
        <f t="shared" si="14"/>
        <v>695456.3892</v>
      </c>
      <c r="G40" s="89">
        <f t="shared" si="14"/>
        <v>138807.5285</v>
      </c>
      <c r="L40" s="107"/>
    </row>
    <row r="41">
      <c r="A41" s="111"/>
      <c r="B41" s="112"/>
      <c r="C41" s="62"/>
      <c r="D41" s="62"/>
      <c r="E41" s="62"/>
      <c r="F41" s="62"/>
      <c r="G41" s="89"/>
      <c r="L41" s="107"/>
    </row>
    <row r="42">
      <c r="A42" s="110" t="s">
        <v>84</v>
      </c>
      <c r="B42" s="47" t="s">
        <v>85</v>
      </c>
      <c r="C42" s="62">
        <f t="shared" ref="C42:G42" si="15">C31-C40</f>
        <v>9182387.689</v>
      </c>
      <c r="D42" s="62">
        <f t="shared" si="15"/>
        <v>11568944.54</v>
      </c>
      <c r="E42" s="62">
        <f t="shared" si="15"/>
        <v>12119835.6</v>
      </c>
      <c r="F42" s="62">
        <f t="shared" si="15"/>
        <v>16083449.96</v>
      </c>
      <c r="G42" s="89">
        <f t="shared" si="15"/>
        <v>18931589.6</v>
      </c>
      <c r="H42" s="43">
        <f>(G42/C21)^(1/5)-1</f>
        <v>0.3050988752</v>
      </c>
      <c r="L42" s="107"/>
    </row>
    <row r="43">
      <c r="B43" s="113"/>
      <c r="F43" s="42"/>
      <c r="G43" s="114"/>
      <c r="L43" s="107"/>
    </row>
    <row r="44">
      <c r="A44" s="111"/>
      <c r="B44" s="54" t="s">
        <v>86</v>
      </c>
      <c r="C44" s="115">
        <f t="shared" ref="C44:G44" si="16">C42/C22-1</f>
        <v>0.8364775377</v>
      </c>
      <c r="D44" s="115">
        <f t="shared" si="16"/>
        <v>0.2599059122</v>
      </c>
      <c r="E44" s="115">
        <f t="shared" si="16"/>
        <v>0.04761809188</v>
      </c>
      <c r="F44" s="115">
        <f t="shared" si="16"/>
        <v>0.3270353235</v>
      </c>
      <c r="G44" s="116">
        <f t="shared" si="16"/>
        <v>0.1770851187</v>
      </c>
      <c r="L44" s="107"/>
    </row>
    <row r="45">
      <c r="L45" s="107"/>
    </row>
    <row r="46">
      <c r="A46" s="111"/>
      <c r="B46" s="111"/>
      <c r="C46" s="43"/>
      <c r="D46" s="43"/>
      <c r="E46" s="43"/>
      <c r="F46" s="43"/>
      <c r="G46" s="43"/>
      <c r="L46" s="107"/>
    </row>
    <row r="47">
      <c r="L47" s="107"/>
    </row>
    <row r="48">
      <c r="A48" s="111"/>
      <c r="B48" s="111"/>
      <c r="C48" s="94"/>
      <c r="D48" s="94"/>
      <c r="E48" s="94"/>
      <c r="F48" s="94"/>
      <c r="G48" s="94"/>
    </row>
    <row r="50">
      <c r="A50" s="111"/>
      <c r="B50" s="111"/>
      <c r="C50" s="94"/>
      <c r="D50" s="94"/>
      <c r="E50" s="94"/>
      <c r="F50" s="94"/>
      <c r="G50" s="94"/>
    </row>
    <row r="52">
      <c r="A52" s="111"/>
      <c r="B52" s="111"/>
      <c r="C52" s="94"/>
      <c r="D52" s="94"/>
      <c r="E52" s="94"/>
      <c r="F52" s="94"/>
      <c r="G52" s="94"/>
    </row>
    <row r="54">
      <c r="A54" s="111"/>
      <c r="B54" s="111"/>
    </row>
    <row r="56">
      <c r="B56" s="111"/>
    </row>
    <row r="57">
      <c r="B57" s="111"/>
      <c r="E57" s="42"/>
      <c r="F57" s="42"/>
      <c r="G57" s="42"/>
    </row>
    <row r="58">
      <c r="B58" s="111"/>
      <c r="C58" s="42"/>
      <c r="D58" s="42"/>
      <c r="E58" s="42"/>
      <c r="F58" s="42"/>
      <c r="G58" s="42"/>
    </row>
    <row r="59">
      <c r="B59" s="111"/>
    </row>
    <row r="60">
      <c r="B60" s="111"/>
    </row>
    <row r="62">
      <c r="B62" s="111"/>
    </row>
    <row r="64">
      <c r="B64" s="111"/>
    </row>
    <row r="66">
      <c r="B66" s="111"/>
      <c r="C66" s="43"/>
      <c r="D66" s="43"/>
      <c r="E66" s="43"/>
      <c r="F66" s="43"/>
      <c r="G66" s="43"/>
    </row>
    <row r="68">
      <c r="E68" s="43"/>
    </row>
    <row r="72">
      <c r="B72" s="111"/>
      <c r="C72" s="62"/>
      <c r="D72" s="62"/>
      <c r="E72" s="62"/>
      <c r="F72" s="62"/>
      <c r="H72" s="117"/>
    </row>
    <row r="73">
      <c r="A73" s="111"/>
      <c r="B73" s="111"/>
      <c r="C73" s="62"/>
      <c r="D73" s="43"/>
      <c r="E73" s="43"/>
      <c r="I73" s="43"/>
    </row>
    <row r="74">
      <c r="B74" s="111"/>
      <c r="C74" s="94"/>
      <c r="D74" s="62"/>
      <c r="E74" s="43"/>
      <c r="J74" s="43"/>
    </row>
    <row r="75">
      <c r="B75" s="111"/>
      <c r="C75" s="43"/>
      <c r="D75" s="43"/>
      <c r="E75" s="43"/>
      <c r="F75" s="43"/>
      <c r="G75" s="43"/>
      <c r="H75" s="117"/>
      <c r="J75" s="43"/>
    </row>
    <row r="76">
      <c r="B76" s="111"/>
      <c r="C76" s="62"/>
      <c r="D76" s="62"/>
      <c r="E76" s="62"/>
    </row>
    <row r="77">
      <c r="B77" s="111"/>
      <c r="C77" s="43"/>
      <c r="D77" s="62"/>
      <c r="E77" s="62"/>
    </row>
    <row r="78">
      <c r="A78" s="111"/>
      <c r="B78" s="111"/>
      <c r="C78" s="62"/>
      <c r="D78" s="62"/>
      <c r="E78" s="62"/>
    </row>
    <row r="79">
      <c r="A79" s="111"/>
      <c r="B79" s="111"/>
      <c r="C79" s="62"/>
      <c r="D79" s="62"/>
      <c r="E79" s="62"/>
    </row>
    <row r="80">
      <c r="C80" s="62"/>
      <c r="D80" s="62"/>
      <c r="E80" s="62"/>
    </row>
    <row r="81">
      <c r="C81" s="111"/>
      <c r="D81" s="111"/>
      <c r="E81" s="111"/>
    </row>
    <row r="82">
      <c r="A82" s="111"/>
      <c r="B82" s="111"/>
      <c r="C82" s="117"/>
      <c r="D82" s="117"/>
      <c r="E82" s="117"/>
    </row>
    <row r="84">
      <c r="A84" s="92"/>
      <c r="B84" s="92"/>
      <c r="C84" s="118"/>
      <c r="D84" s="118"/>
      <c r="E84" s="118"/>
    </row>
    <row r="85">
      <c r="A85" s="92"/>
      <c r="B85" s="92"/>
      <c r="C85" s="119"/>
      <c r="D85" s="119"/>
      <c r="E85" s="119"/>
    </row>
    <row r="86">
      <c r="A86" s="120"/>
      <c r="B86" s="120"/>
      <c r="C86" s="121"/>
      <c r="D86" s="121"/>
      <c r="E86" s="121"/>
    </row>
    <row r="87">
      <c r="A87" s="92"/>
      <c r="B87" s="92"/>
      <c r="C87" s="118"/>
      <c r="D87" s="118"/>
      <c r="E87" s="118"/>
    </row>
    <row r="88">
      <c r="A88" s="92"/>
      <c r="B88" s="92"/>
      <c r="C88" s="118"/>
      <c r="D88" s="118"/>
      <c r="E88" s="118"/>
    </row>
    <row r="89">
      <c r="A89" s="92"/>
      <c r="B89" s="92"/>
      <c r="C89" s="118"/>
      <c r="D89" s="118"/>
      <c r="E89" s="118"/>
    </row>
    <row r="90">
      <c r="A90" s="92"/>
      <c r="B90" s="92"/>
      <c r="C90" s="92"/>
      <c r="D90" s="92"/>
      <c r="E90" s="92"/>
    </row>
    <row r="91">
      <c r="A91" s="92"/>
      <c r="B91" s="92"/>
      <c r="C91" s="118"/>
      <c r="D91" s="118"/>
      <c r="E91" s="118"/>
    </row>
    <row r="92">
      <c r="A92" s="92"/>
      <c r="B92" s="92"/>
      <c r="C92" s="118"/>
      <c r="D92" s="118"/>
      <c r="E92" s="118"/>
    </row>
    <row r="93">
      <c r="A93" s="92"/>
      <c r="B93" s="92"/>
      <c r="C93" s="119"/>
      <c r="D93" s="119"/>
      <c r="E93" s="119"/>
    </row>
    <row r="94">
      <c r="A94" s="92"/>
      <c r="B94" s="92"/>
      <c r="C94" s="118"/>
      <c r="D94" s="118"/>
      <c r="E94" s="118"/>
    </row>
    <row r="95">
      <c r="A95" s="92"/>
      <c r="B95" s="92"/>
      <c r="C95" s="119"/>
      <c r="D95" s="119"/>
      <c r="E95" s="119"/>
    </row>
    <row r="96">
      <c r="A96" s="92"/>
      <c r="B96" s="92"/>
      <c r="C96" s="119"/>
      <c r="D96" s="92"/>
      <c r="E96" s="92"/>
    </row>
    <row r="97">
      <c r="A97" s="92"/>
      <c r="B97" s="92"/>
      <c r="C97" s="119"/>
      <c r="D97" s="92"/>
      <c r="E97" s="92"/>
    </row>
  </sheetData>
  <mergeCells count="1">
    <mergeCell ref="B1:K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5A6BD"/>
    <outlinePr summaryBelow="0" summaryRight="0"/>
  </sheetPr>
  <sheetViews>
    <sheetView workbookViewId="0"/>
  </sheetViews>
  <sheetFormatPr customHeight="1" defaultColWidth="12.63" defaultRowHeight="15.75"/>
  <cols>
    <col customWidth="1" min="1" max="1" width="5.25"/>
    <col customWidth="1" min="2" max="2" width="118.88"/>
    <col customWidth="1" min="3" max="3" width="18.75"/>
    <col customWidth="1" min="4" max="7" width="13.0"/>
    <col customWidth="1" min="8" max="8" width="21.75"/>
  </cols>
  <sheetData>
    <row r="1">
      <c r="A1" s="63"/>
      <c r="B1" s="1" t="s">
        <v>0</v>
      </c>
    </row>
    <row r="2">
      <c r="A2" s="63"/>
      <c r="B2" s="63"/>
      <c r="C2" s="64"/>
      <c r="D2" s="65"/>
      <c r="E2" s="65"/>
    </row>
    <row r="3">
      <c r="A3" s="63"/>
      <c r="B3" s="63"/>
      <c r="C3" s="64"/>
      <c r="D3" s="65"/>
      <c r="E3" s="65"/>
    </row>
    <row r="4">
      <c r="A4" s="63"/>
      <c r="B4" s="63" t="s">
        <v>46</v>
      </c>
      <c r="C4" s="64"/>
      <c r="D4" s="65"/>
      <c r="E4" s="65"/>
    </row>
    <row r="5">
      <c r="A5" s="63"/>
      <c r="B5" s="66" t="s">
        <v>21</v>
      </c>
      <c r="C5" s="67">
        <f>'Summary Sheet'!B21</f>
        <v>5000000</v>
      </c>
      <c r="D5" s="63"/>
      <c r="E5" s="65"/>
    </row>
    <row r="6">
      <c r="A6" s="63">
        <v>1.0</v>
      </c>
      <c r="B6" s="68" t="s">
        <v>23</v>
      </c>
      <c r="C6" s="69">
        <f>'Summary Sheet'!B23</f>
        <v>0.1</v>
      </c>
      <c r="D6" s="65"/>
      <c r="E6" s="70"/>
    </row>
    <row r="7">
      <c r="A7" s="63">
        <v>2.0</v>
      </c>
      <c r="B7" s="68" t="s">
        <v>47</v>
      </c>
      <c r="C7" s="69">
        <f>'Summary Sheet'!B24</f>
        <v>0.2</v>
      </c>
      <c r="D7" s="65"/>
      <c r="E7" s="70"/>
    </row>
    <row r="8">
      <c r="A8" s="63">
        <v>3.0</v>
      </c>
      <c r="B8" s="68" t="s">
        <v>48</v>
      </c>
      <c r="C8" s="69">
        <v>0.0012</v>
      </c>
      <c r="D8" s="65"/>
      <c r="E8" s="70"/>
    </row>
    <row r="9">
      <c r="A9" s="63">
        <v>4.0</v>
      </c>
      <c r="B9" s="68" t="s">
        <v>49</v>
      </c>
      <c r="C9" s="69">
        <v>5.0E-4</v>
      </c>
      <c r="D9" s="65"/>
      <c r="E9" s="70"/>
    </row>
    <row r="10">
      <c r="A10" s="63">
        <v>5.0</v>
      </c>
      <c r="B10" s="68" t="s">
        <v>50</v>
      </c>
      <c r="C10" s="69">
        <v>0.18</v>
      </c>
      <c r="D10" s="65"/>
      <c r="E10" s="70"/>
      <c r="H10" s="71"/>
      <c r="I10" s="71"/>
      <c r="J10" s="71"/>
      <c r="K10" s="71"/>
    </row>
    <row r="11">
      <c r="A11" s="63">
        <v>6.0</v>
      </c>
      <c r="B11" s="72" t="s">
        <v>89</v>
      </c>
      <c r="C11" s="73">
        <f>'Summary Sheet'!B22</f>
        <v>0.01</v>
      </c>
      <c r="D11" s="74"/>
      <c r="E11" s="70"/>
    </row>
    <row r="12">
      <c r="A12" s="63"/>
      <c r="B12" s="63"/>
      <c r="C12" s="71"/>
      <c r="D12" s="65"/>
      <c r="E12" s="70"/>
    </row>
    <row r="13">
      <c r="A13" s="63"/>
      <c r="B13" s="63"/>
      <c r="C13" s="71"/>
      <c r="D13" s="65"/>
      <c r="E13" s="75"/>
    </row>
    <row r="14">
      <c r="A14" s="63"/>
      <c r="D14" s="74"/>
      <c r="E14" s="70"/>
    </row>
    <row r="15">
      <c r="A15" s="76"/>
      <c r="B15" s="76"/>
      <c r="C15" s="76"/>
      <c r="D15" s="76"/>
      <c r="E15" s="76"/>
    </row>
    <row r="16">
      <c r="A16" s="76"/>
      <c r="B16" s="17" t="s">
        <v>52</v>
      </c>
      <c r="C16" s="77" t="s">
        <v>26</v>
      </c>
      <c r="D16" s="77" t="s">
        <v>27</v>
      </c>
      <c r="E16" s="77" t="s">
        <v>28</v>
      </c>
      <c r="F16" s="77" t="s">
        <v>29</v>
      </c>
      <c r="G16" s="78" t="s">
        <v>30</v>
      </c>
    </row>
    <row r="17">
      <c r="A17" s="76"/>
      <c r="B17" s="19"/>
      <c r="C17" s="79"/>
      <c r="D17" s="79"/>
      <c r="E17" s="79"/>
      <c r="G17" s="60"/>
    </row>
    <row r="18">
      <c r="A18" s="123" t="s">
        <v>53</v>
      </c>
      <c r="B18" s="81" t="s">
        <v>25</v>
      </c>
      <c r="C18" s="71">
        <f>'Summary Sheet'!B27</f>
        <v>1.084</v>
      </c>
      <c r="D18" s="71">
        <f>'Summary Sheet'!C27</f>
        <v>0.281</v>
      </c>
      <c r="E18" s="71">
        <f>'Summary Sheet'!D27</f>
        <v>0.061</v>
      </c>
      <c r="F18" s="71">
        <f>'Summary Sheet'!E27</f>
        <v>0.4</v>
      </c>
      <c r="G18" s="69">
        <f>'Summary Sheet'!F27</f>
        <v>0.2</v>
      </c>
    </row>
    <row r="19">
      <c r="A19" s="124" t="s">
        <v>54</v>
      </c>
      <c r="B19" s="83" t="s">
        <v>55</v>
      </c>
      <c r="C19" s="84">
        <f>'Summary Sheet'!B28</f>
        <v>0.786</v>
      </c>
      <c r="D19" s="84">
        <f>'Summary Sheet'!C28</f>
        <v>0.223</v>
      </c>
      <c r="E19" s="84">
        <f>'Summary Sheet'!D28</f>
        <v>-0.009</v>
      </c>
      <c r="F19" s="84">
        <f>'Summary Sheet'!E28</f>
        <v>0.402</v>
      </c>
      <c r="G19" s="125">
        <f>'Summary Sheet'!F28</f>
        <v>-0.013</v>
      </c>
    </row>
    <row r="20">
      <c r="A20" s="124" t="s">
        <v>56</v>
      </c>
      <c r="B20" s="83" t="s">
        <v>57</v>
      </c>
      <c r="C20" s="85">
        <f t="shared" ref="C20:G20" si="1">C18-C19</f>
        <v>0.298</v>
      </c>
      <c r="D20" s="85">
        <f t="shared" si="1"/>
        <v>0.058</v>
      </c>
      <c r="E20" s="85">
        <f t="shared" si="1"/>
        <v>0.07</v>
      </c>
      <c r="F20" s="85">
        <f t="shared" si="1"/>
        <v>-0.002</v>
      </c>
      <c r="G20" s="86">
        <f t="shared" si="1"/>
        <v>0.213</v>
      </c>
    </row>
    <row r="21">
      <c r="A21" s="124" t="s">
        <v>58</v>
      </c>
      <c r="B21" s="126" t="s">
        <v>90</v>
      </c>
      <c r="C21" s="87">
        <f>$C$22</f>
        <v>5000000</v>
      </c>
      <c r="D21" s="87">
        <f t="shared" ref="D21:G21" si="2">if(C48&gt;0,max(C21,(C31+C29)),C21)</f>
        <v>10406893</v>
      </c>
      <c r="E21" s="87">
        <f t="shared" si="2"/>
        <v>11741112.69</v>
      </c>
      <c r="F21" s="87">
        <f t="shared" si="2"/>
        <v>11741112.69</v>
      </c>
      <c r="G21" s="122">
        <f t="shared" si="2"/>
        <v>17006305.86</v>
      </c>
    </row>
    <row r="22">
      <c r="A22" s="124" t="s">
        <v>60</v>
      </c>
      <c r="B22" s="88" t="s">
        <v>61</v>
      </c>
      <c r="C22" s="62">
        <f>$C$5</f>
        <v>5000000</v>
      </c>
      <c r="D22" s="62">
        <f t="shared" ref="D22:G22" si="3">C64</f>
        <v>9179477.222</v>
      </c>
      <c r="E22" s="62">
        <f t="shared" si="3"/>
        <v>11617786.22</v>
      </c>
      <c r="F22" s="62">
        <f t="shared" si="3"/>
        <v>12165087.6</v>
      </c>
      <c r="G22" s="89">
        <f t="shared" si="3"/>
        <v>16338074.2</v>
      </c>
    </row>
    <row r="23">
      <c r="A23" s="124" t="s">
        <v>62</v>
      </c>
      <c r="B23" s="127" t="s">
        <v>91</v>
      </c>
      <c r="C23" s="62">
        <f t="shared" ref="C23:G23" si="4">C22*C18</f>
        <v>5420000</v>
      </c>
      <c r="D23" s="62">
        <f t="shared" si="4"/>
        <v>2579433.099</v>
      </c>
      <c r="E23" s="62">
        <f t="shared" si="4"/>
        <v>708684.9593</v>
      </c>
      <c r="F23" s="62">
        <f t="shared" si="4"/>
        <v>4866035.04</v>
      </c>
      <c r="G23" s="89">
        <f t="shared" si="4"/>
        <v>3267614.84</v>
      </c>
    </row>
    <row r="24">
      <c r="A24" s="124" t="s">
        <v>64</v>
      </c>
      <c r="B24" s="88" t="s">
        <v>65</v>
      </c>
      <c r="C24" s="62">
        <f t="shared" ref="C24:G24" si="5">C23+C22</f>
        <v>10420000</v>
      </c>
      <c r="D24" s="62">
        <f t="shared" si="5"/>
        <v>11758910.32</v>
      </c>
      <c r="E24" s="62">
        <f t="shared" si="5"/>
        <v>12326471.18</v>
      </c>
      <c r="F24" s="62">
        <f t="shared" si="5"/>
        <v>17031122.64</v>
      </c>
      <c r="G24" s="89">
        <f t="shared" si="5"/>
        <v>19605689.04</v>
      </c>
    </row>
    <row r="25">
      <c r="A25" s="128" t="s">
        <v>66</v>
      </c>
      <c r="B25" s="91" t="s">
        <v>67</v>
      </c>
      <c r="C25" s="62">
        <f t="shared" ref="C25:G25" si="6">(C24+C22)/2</f>
        <v>7710000</v>
      </c>
      <c r="D25" s="62">
        <f t="shared" si="6"/>
        <v>10469193.77</v>
      </c>
      <c r="E25" s="62">
        <f t="shared" si="6"/>
        <v>11972128.7</v>
      </c>
      <c r="F25" s="62">
        <f t="shared" si="6"/>
        <v>14598105.12</v>
      </c>
      <c r="G25" s="89">
        <f t="shared" si="6"/>
        <v>17971881.62</v>
      </c>
    </row>
    <row r="26">
      <c r="A26" s="129"/>
      <c r="B26" s="93"/>
      <c r="C26" s="94"/>
      <c r="D26" s="94"/>
      <c r="E26" s="94"/>
      <c r="F26" s="94"/>
      <c r="G26" s="95"/>
    </row>
    <row r="27">
      <c r="A27" s="124" t="s">
        <v>68</v>
      </c>
      <c r="B27" s="88" t="s">
        <v>69</v>
      </c>
      <c r="C27" s="64">
        <f t="shared" ref="C27:G27" si="7">C25*$C$8</f>
        <v>9252</v>
      </c>
      <c r="D27" s="64">
        <f t="shared" si="7"/>
        <v>12563.03253</v>
      </c>
      <c r="E27" s="64">
        <f t="shared" si="7"/>
        <v>14366.55444</v>
      </c>
      <c r="F27" s="64">
        <f t="shared" si="7"/>
        <v>17517.72614</v>
      </c>
      <c r="G27" s="96">
        <f t="shared" si="7"/>
        <v>21566.25794</v>
      </c>
    </row>
    <row r="28">
      <c r="A28" s="130" t="s">
        <v>70</v>
      </c>
      <c r="B28" s="127" t="s">
        <v>92</v>
      </c>
      <c r="C28" s="64">
        <f t="shared" ref="C28:G28" si="8">C25*$C$9</f>
        <v>3855</v>
      </c>
      <c r="D28" s="64">
        <f t="shared" si="8"/>
        <v>5234.596886</v>
      </c>
      <c r="E28" s="64">
        <f t="shared" si="8"/>
        <v>5986.064349</v>
      </c>
      <c r="F28" s="64">
        <f t="shared" si="8"/>
        <v>7299.05256</v>
      </c>
      <c r="G28" s="96">
        <f t="shared" si="8"/>
        <v>8985.940809</v>
      </c>
    </row>
    <row r="29">
      <c r="A29" s="131" t="s">
        <v>72</v>
      </c>
      <c r="B29" s="127" t="s">
        <v>93</v>
      </c>
      <c r="C29" s="64">
        <f t="shared" ref="C29:G29" si="9">(C25-C27-C28)*$C$11*(1+$C$10)</f>
        <v>90823.3374</v>
      </c>
      <c r="D29" s="64">
        <f t="shared" si="9"/>
        <v>123326.4745</v>
      </c>
      <c r="E29" s="64">
        <f t="shared" si="9"/>
        <v>141030.9577</v>
      </c>
      <c r="F29" s="64">
        <f t="shared" si="9"/>
        <v>171964.8024</v>
      </c>
      <c r="G29" s="96">
        <f t="shared" si="9"/>
        <v>211707.6872</v>
      </c>
    </row>
    <row r="30">
      <c r="A30" s="132"/>
      <c r="B30" s="98"/>
      <c r="C30" s="64"/>
      <c r="D30" s="64"/>
      <c r="E30" s="64"/>
      <c r="F30" s="64"/>
      <c r="G30" s="96"/>
    </row>
    <row r="31">
      <c r="A31" s="131" t="s">
        <v>74</v>
      </c>
      <c r="B31" s="127" t="s">
        <v>94</v>
      </c>
      <c r="C31" s="64">
        <f t="shared" ref="C31:G31" si="10">C24-C27-C28-C29</f>
        <v>10316069.66</v>
      </c>
      <c r="D31" s="64">
        <f t="shared" si="10"/>
        <v>11617786.22</v>
      </c>
      <c r="E31" s="64">
        <f t="shared" si="10"/>
        <v>12165087.6</v>
      </c>
      <c r="F31" s="64">
        <f t="shared" si="10"/>
        <v>16834341.06</v>
      </c>
      <c r="G31" s="64">
        <f t="shared" si="10"/>
        <v>19363429.15</v>
      </c>
    </row>
    <row r="32">
      <c r="A32" s="129"/>
      <c r="B32" s="93"/>
      <c r="G32" s="60"/>
    </row>
    <row r="33">
      <c r="A33" s="131" t="s">
        <v>76</v>
      </c>
      <c r="B33" s="133" t="s">
        <v>95</v>
      </c>
      <c r="C33" s="103">
        <f t="shared" ref="C33:G33" si="11">C31/C21-1</f>
        <v>1.063213933</v>
      </c>
      <c r="D33" s="103">
        <f t="shared" si="11"/>
        <v>0.1163549215</v>
      </c>
      <c r="E33" s="103">
        <f t="shared" si="11"/>
        <v>0.03611028353</v>
      </c>
      <c r="F33" s="103">
        <f t="shared" si="11"/>
        <v>0.4337943516</v>
      </c>
      <c r="G33" s="104">
        <f t="shared" si="11"/>
        <v>0.1386028988</v>
      </c>
    </row>
    <row r="34">
      <c r="A34" s="134" t="s">
        <v>78</v>
      </c>
      <c r="B34" s="135" t="s">
        <v>96</v>
      </c>
      <c r="C34" s="85">
        <f>$C$6</f>
        <v>0.1</v>
      </c>
      <c r="D34" s="85">
        <f t="shared" ref="D34:G34" si="12">if(C38&gt;0%,$C$6,C34+$C$6)</f>
        <v>0.1</v>
      </c>
      <c r="E34" s="85">
        <f t="shared" si="12"/>
        <v>0.1</v>
      </c>
      <c r="F34" s="85">
        <f t="shared" si="12"/>
        <v>0.2</v>
      </c>
      <c r="G34" s="86">
        <f t="shared" si="12"/>
        <v>0.1</v>
      </c>
    </row>
    <row r="35">
      <c r="A35" s="132"/>
      <c r="B35" s="93"/>
      <c r="G35" s="60"/>
    </row>
    <row r="36">
      <c r="A36" s="131" t="s">
        <v>80</v>
      </c>
      <c r="B36" s="127" t="s">
        <v>97</v>
      </c>
      <c r="C36" s="103">
        <f t="shared" ref="C36:G36" si="13">if(C33-C34&lt;0,0,C33-C34)</f>
        <v>0.9632139325</v>
      </c>
      <c r="D36" s="103">
        <f t="shared" si="13"/>
        <v>0.01635492147</v>
      </c>
      <c r="E36" s="103">
        <f t="shared" si="13"/>
        <v>0</v>
      </c>
      <c r="F36" s="103">
        <f t="shared" si="13"/>
        <v>0.2337943516</v>
      </c>
      <c r="G36" s="104">
        <f t="shared" si="13"/>
        <v>0.03860289882</v>
      </c>
    </row>
    <row r="37">
      <c r="A37" s="129"/>
      <c r="B37" s="93"/>
      <c r="C37" s="103"/>
      <c r="D37" s="103"/>
      <c r="E37" s="103"/>
      <c r="F37" s="103"/>
      <c r="G37" s="104"/>
    </row>
    <row r="38">
      <c r="A38" s="131" t="s">
        <v>82</v>
      </c>
      <c r="B38" s="127" t="s">
        <v>98</v>
      </c>
      <c r="C38" s="103">
        <f t="shared" ref="C38:G38" si="14">C36*($C$7*(1+$C10))</f>
        <v>0.2273184881</v>
      </c>
      <c r="D38" s="103">
        <f t="shared" si="14"/>
        <v>0.003859761467</v>
      </c>
      <c r="E38" s="103">
        <f t="shared" si="14"/>
        <v>0</v>
      </c>
      <c r="F38" s="103">
        <f t="shared" si="14"/>
        <v>0.05517546698</v>
      </c>
      <c r="G38" s="104">
        <f t="shared" si="14"/>
        <v>0.009110284121</v>
      </c>
    </row>
    <row r="39">
      <c r="A39" s="129"/>
      <c r="B39" s="93"/>
      <c r="C39" s="107"/>
      <c r="D39" s="107"/>
      <c r="E39" s="107"/>
      <c r="F39" s="108"/>
      <c r="G39" s="109"/>
      <c r="L39" s="107"/>
      <c r="M39" s="107"/>
      <c r="N39" s="107"/>
    </row>
    <row r="40">
      <c r="A40" s="131" t="s">
        <v>84</v>
      </c>
      <c r="B40" s="127" t="s">
        <v>99</v>
      </c>
      <c r="C40" s="136">
        <f t="shared" ref="C40:G40" si="15">C33-C38</f>
        <v>0.8358954444</v>
      </c>
      <c r="D40" s="136">
        <f t="shared" si="15"/>
        <v>0.11249516</v>
      </c>
      <c r="E40" s="136">
        <f t="shared" si="15"/>
        <v>0.03611028353</v>
      </c>
      <c r="F40" s="136">
        <f t="shared" si="15"/>
        <v>0.3786188846</v>
      </c>
      <c r="G40" s="137">
        <f t="shared" si="15"/>
        <v>0.1294926147</v>
      </c>
      <c r="L40" s="107"/>
      <c r="M40" s="107"/>
      <c r="N40" s="107"/>
    </row>
    <row r="41">
      <c r="A41" s="132"/>
      <c r="B41" s="98"/>
      <c r="C41" s="138"/>
      <c r="D41" s="138"/>
      <c r="E41" s="138"/>
      <c r="F41" s="138"/>
      <c r="G41" s="139"/>
      <c r="L41" s="107"/>
      <c r="M41" s="107"/>
      <c r="N41" s="107"/>
    </row>
    <row r="42">
      <c r="A42" s="140" t="s">
        <v>100</v>
      </c>
      <c r="B42" s="141" t="s">
        <v>101</v>
      </c>
      <c r="C42" s="142">
        <f>C19</f>
        <v>0.786</v>
      </c>
      <c r="D42" s="142">
        <f t="shared" ref="D42:G42" si="16">if(C48=0,D19+C42,D19)</f>
        <v>0.223</v>
      </c>
      <c r="E42" s="142">
        <f t="shared" si="16"/>
        <v>-0.009</v>
      </c>
      <c r="F42" s="142">
        <f t="shared" si="16"/>
        <v>0.393</v>
      </c>
      <c r="G42" s="143">
        <f t="shared" si="16"/>
        <v>-0.013</v>
      </c>
      <c r="L42" s="107"/>
      <c r="M42" s="107"/>
      <c r="N42" s="107"/>
    </row>
    <row r="43">
      <c r="A43" s="129"/>
      <c r="B43" s="93"/>
      <c r="C43" s="107"/>
      <c r="D43" s="107"/>
      <c r="E43" s="107"/>
      <c r="F43" s="108"/>
      <c r="G43" s="109"/>
      <c r="L43" s="107"/>
      <c r="M43" s="107"/>
      <c r="N43" s="107"/>
    </row>
    <row r="44">
      <c r="A44" s="144" t="s">
        <v>102</v>
      </c>
      <c r="B44" s="145" t="s">
        <v>103</v>
      </c>
      <c r="C44" s="146">
        <f t="shared" ref="C44:G44" si="17">if(C40&lt;C42,max(0%,C33-C42),C38)</f>
        <v>0.2273184881</v>
      </c>
      <c r="D44" s="146">
        <f t="shared" si="17"/>
        <v>0</v>
      </c>
      <c r="E44" s="146">
        <f t="shared" si="17"/>
        <v>0</v>
      </c>
      <c r="F44" s="146">
        <f t="shared" si="17"/>
        <v>0.0407943516</v>
      </c>
      <c r="G44" s="147">
        <f t="shared" si="17"/>
        <v>0.009110284121</v>
      </c>
      <c r="L44" s="107"/>
      <c r="M44" s="107"/>
      <c r="N44" s="107"/>
    </row>
    <row r="45">
      <c r="A45" s="148"/>
      <c r="B45" s="93"/>
      <c r="D45" s="107"/>
      <c r="E45" s="107"/>
      <c r="F45" s="107"/>
      <c r="G45" s="149"/>
      <c r="L45" s="107"/>
      <c r="M45" s="107"/>
      <c r="N45" s="107"/>
    </row>
    <row r="46">
      <c r="A46" s="150" t="s">
        <v>104</v>
      </c>
      <c r="B46" s="127" t="s">
        <v>105</v>
      </c>
      <c r="C46" s="151">
        <f t="shared" ref="C46:G46" si="18">C38-C44</f>
        <v>0</v>
      </c>
      <c r="D46" s="151">
        <f t="shared" si="18"/>
        <v>0.003859761467</v>
      </c>
      <c r="E46" s="151">
        <f t="shared" si="18"/>
        <v>0</v>
      </c>
      <c r="F46" s="151">
        <f t="shared" si="18"/>
        <v>0.01438111538</v>
      </c>
      <c r="G46" s="152">
        <f t="shared" si="18"/>
        <v>0</v>
      </c>
      <c r="L46" s="107"/>
      <c r="M46" s="107"/>
      <c r="N46" s="107"/>
    </row>
    <row r="47">
      <c r="A47" s="148"/>
      <c r="B47" s="93"/>
      <c r="C47" s="107"/>
      <c r="D47" s="107"/>
      <c r="E47" s="107"/>
      <c r="F47" s="107"/>
      <c r="G47" s="149"/>
      <c r="L47" s="107"/>
      <c r="M47" s="107"/>
      <c r="N47" s="107"/>
    </row>
    <row r="48">
      <c r="A48" s="153" t="s">
        <v>106</v>
      </c>
      <c r="B48" s="154" t="s">
        <v>107</v>
      </c>
      <c r="C48" s="155">
        <f t="shared" ref="C48:G48" si="19">C22*C38</f>
        <v>1136592.44</v>
      </c>
      <c r="D48" s="155">
        <f t="shared" si="19"/>
        <v>35430.59247</v>
      </c>
      <c r="E48" s="155">
        <f t="shared" si="19"/>
        <v>0</v>
      </c>
      <c r="F48" s="155">
        <f t="shared" si="19"/>
        <v>671214.3892</v>
      </c>
      <c r="G48" s="156">
        <f t="shared" si="19"/>
        <v>148844.4979</v>
      </c>
    </row>
    <row r="49">
      <c r="A49" s="148"/>
      <c r="B49" s="157"/>
      <c r="C49" s="158"/>
      <c r="D49" s="158"/>
      <c r="E49" s="158"/>
      <c r="F49" s="158"/>
      <c r="G49" s="159"/>
    </row>
    <row r="50">
      <c r="A50" s="134" t="s">
        <v>108</v>
      </c>
      <c r="B50" s="154" t="s">
        <v>109</v>
      </c>
      <c r="C50" s="160">
        <f t="shared" ref="C50:G50" si="20">C22*C44</f>
        <v>1136592.44</v>
      </c>
      <c r="D50" s="160">
        <f t="shared" si="20"/>
        <v>0</v>
      </c>
      <c r="E50" s="160">
        <f t="shared" si="20"/>
        <v>0</v>
      </c>
      <c r="F50" s="160">
        <f t="shared" si="20"/>
        <v>496266.8608</v>
      </c>
      <c r="G50" s="161">
        <f t="shared" si="20"/>
        <v>148844.4979</v>
      </c>
    </row>
    <row r="51">
      <c r="A51" s="129"/>
      <c r="B51" s="157"/>
      <c r="C51" s="158"/>
      <c r="D51" s="158"/>
      <c r="E51" s="158"/>
      <c r="F51" s="158"/>
      <c r="G51" s="159"/>
    </row>
    <row r="52">
      <c r="A52" s="131" t="s">
        <v>110</v>
      </c>
      <c r="B52" s="154" t="s">
        <v>111</v>
      </c>
      <c r="C52" s="155">
        <f t="shared" ref="C52:G52" si="21">C48-C50</f>
        <v>0</v>
      </c>
      <c r="D52" s="155">
        <f t="shared" si="21"/>
        <v>35430.59247</v>
      </c>
      <c r="E52" s="155">
        <f t="shared" si="21"/>
        <v>0</v>
      </c>
      <c r="F52" s="155">
        <f t="shared" si="21"/>
        <v>174947.5284</v>
      </c>
      <c r="G52" s="156">
        <f t="shared" si="21"/>
        <v>0</v>
      </c>
    </row>
    <row r="53">
      <c r="A53" s="129"/>
      <c r="B53" s="93"/>
      <c r="G53" s="60"/>
    </row>
    <row r="54">
      <c r="A54" s="130" t="s">
        <v>112</v>
      </c>
      <c r="B54" s="162" t="s">
        <v>113</v>
      </c>
      <c r="C54" s="62">
        <f t="shared" ref="C54:G54" si="22">C31-C50</f>
        <v>9179477.222</v>
      </c>
      <c r="D54" s="62">
        <f t="shared" si="22"/>
        <v>11617786.22</v>
      </c>
      <c r="E54" s="62">
        <f t="shared" si="22"/>
        <v>12165087.6</v>
      </c>
      <c r="F54" s="62">
        <f t="shared" si="22"/>
        <v>16338074.2</v>
      </c>
      <c r="G54" s="89">
        <f t="shared" si="22"/>
        <v>19214584.65</v>
      </c>
    </row>
    <row r="55">
      <c r="A55" s="129"/>
      <c r="B55" s="93"/>
      <c r="G55" s="60"/>
    </row>
    <row r="56">
      <c r="A56" s="130" t="s">
        <v>114</v>
      </c>
      <c r="B56" s="162" t="s">
        <v>115</v>
      </c>
      <c r="C56" s="62">
        <f>C52</f>
        <v>0</v>
      </c>
      <c r="D56" s="62">
        <f t="shared" ref="D56:G56" si="23">if(D52=0,C62,C62+D52)</f>
        <v>35430.59247</v>
      </c>
      <c r="E56" s="62">
        <f t="shared" si="23"/>
        <v>35430.59247</v>
      </c>
      <c r="F56" s="62">
        <f t="shared" si="23"/>
        <v>210378.1209</v>
      </c>
      <c r="G56" s="89">
        <f t="shared" si="23"/>
        <v>210378.1209</v>
      </c>
    </row>
    <row r="57">
      <c r="A57" s="129"/>
      <c r="B57" s="98"/>
      <c r="E57" s="42"/>
      <c r="F57" s="42"/>
      <c r="G57" s="114"/>
    </row>
    <row r="58">
      <c r="A58" s="130" t="s">
        <v>116</v>
      </c>
      <c r="B58" s="162" t="s">
        <v>117</v>
      </c>
      <c r="C58" s="62">
        <f t="shared" ref="C58:G58" si="24">if(C36=0,0,IF(C33-C42-C44&lt;0,0,C33-C42-C44)*C22)</f>
        <v>249477.2222</v>
      </c>
      <c r="D58" s="62">
        <f t="shared" si="24"/>
        <v>0</v>
      </c>
      <c r="E58" s="62">
        <f t="shared" si="24"/>
        <v>0</v>
      </c>
      <c r="F58" s="62">
        <f t="shared" si="24"/>
        <v>0</v>
      </c>
      <c r="G58" s="89">
        <f t="shared" si="24"/>
        <v>2328054.912</v>
      </c>
    </row>
    <row r="59">
      <c r="A59" s="129"/>
      <c r="B59" s="98"/>
      <c r="C59" s="62"/>
      <c r="D59" s="62"/>
      <c r="E59" s="62"/>
      <c r="F59" s="62"/>
      <c r="G59" s="89"/>
    </row>
    <row r="60">
      <c r="A60" s="130" t="s">
        <v>118</v>
      </c>
      <c r="B60" s="162" t="s">
        <v>119</v>
      </c>
      <c r="C60" s="62">
        <f t="shared" ref="C60:G60" si="25">if(C56=0,0,if(C58=0,0,if(C58-C56&lt;0,C58,if(C58&gt;C56,C56))))</f>
        <v>0</v>
      </c>
      <c r="D60" s="62">
        <f t="shared" si="25"/>
        <v>0</v>
      </c>
      <c r="E60" s="62">
        <f t="shared" si="25"/>
        <v>0</v>
      </c>
      <c r="F60" s="62">
        <f t="shared" si="25"/>
        <v>0</v>
      </c>
      <c r="G60" s="89">
        <f t="shared" si="25"/>
        <v>210378.1209</v>
      </c>
    </row>
    <row r="61">
      <c r="A61" s="129"/>
      <c r="B61" s="93"/>
      <c r="C61" s="62"/>
      <c r="D61" s="62"/>
      <c r="E61" s="62"/>
      <c r="F61" s="62"/>
      <c r="G61" s="89"/>
    </row>
    <row r="62">
      <c r="A62" s="130" t="s">
        <v>120</v>
      </c>
      <c r="B62" s="162" t="s">
        <v>121</v>
      </c>
      <c r="C62" s="62">
        <f t="shared" ref="C62:G62" si="26">C56-C60</f>
        <v>0</v>
      </c>
      <c r="D62" s="62">
        <f t="shared" si="26"/>
        <v>35430.59247</v>
      </c>
      <c r="E62" s="62">
        <f t="shared" si="26"/>
        <v>35430.59247</v>
      </c>
      <c r="F62" s="62">
        <f t="shared" si="26"/>
        <v>210378.1209</v>
      </c>
      <c r="G62" s="89">
        <f t="shared" si="26"/>
        <v>0</v>
      </c>
    </row>
    <row r="63">
      <c r="A63" s="129"/>
      <c r="B63" s="93"/>
      <c r="C63" s="62"/>
      <c r="D63" s="62"/>
      <c r="E63" s="62"/>
      <c r="F63" s="62"/>
      <c r="G63" s="89"/>
    </row>
    <row r="64">
      <c r="A64" s="130" t="s">
        <v>122</v>
      </c>
      <c r="B64" s="162" t="s">
        <v>123</v>
      </c>
      <c r="C64" s="62">
        <f t="shared" ref="C64:G64" si="27">C54-C60</f>
        <v>9179477.222</v>
      </c>
      <c r="D64" s="62">
        <f t="shared" si="27"/>
        <v>11617786.22</v>
      </c>
      <c r="E64" s="62">
        <f t="shared" si="27"/>
        <v>12165087.6</v>
      </c>
      <c r="F64" s="62">
        <f t="shared" si="27"/>
        <v>16338074.2</v>
      </c>
      <c r="G64" s="89">
        <f t="shared" si="27"/>
        <v>19004206.53</v>
      </c>
      <c r="H64" s="43">
        <f>(G64/C21)^(1/5)-1</f>
        <v>0.3060985504</v>
      </c>
    </row>
    <row r="65">
      <c r="A65" s="129"/>
      <c r="B65" s="93"/>
      <c r="G65" s="60"/>
    </row>
    <row r="66">
      <c r="A66" s="130" t="s">
        <v>124</v>
      </c>
      <c r="B66" s="163" t="s">
        <v>125</v>
      </c>
      <c r="C66" s="164">
        <f t="shared" ref="C66:G66" si="28">C64/C22-1</f>
        <v>0.8358954444</v>
      </c>
      <c r="D66" s="164">
        <f t="shared" si="28"/>
        <v>0.2656261284</v>
      </c>
      <c r="E66" s="164">
        <f t="shared" si="28"/>
        <v>0.04710892183</v>
      </c>
      <c r="F66" s="164">
        <f t="shared" si="28"/>
        <v>0.3430297204</v>
      </c>
      <c r="G66" s="165">
        <f t="shared" si="28"/>
        <v>0.1631852263</v>
      </c>
    </row>
    <row r="68">
      <c r="B68" s="166" t="s">
        <v>126</v>
      </c>
      <c r="E68" s="43"/>
    </row>
    <row r="69">
      <c r="A69" s="167">
        <v>1.0</v>
      </c>
      <c r="B69" s="168" t="s">
        <v>127</v>
      </c>
      <c r="C69" s="6"/>
      <c r="D69" s="6"/>
      <c r="E69" s="6"/>
      <c r="F69" s="6"/>
      <c r="G69" s="6"/>
      <c r="H69" s="6"/>
      <c r="I69" s="6"/>
      <c r="J69" s="6"/>
      <c r="K69" s="6"/>
      <c r="L69" s="6"/>
      <c r="M69" s="6"/>
      <c r="N69" s="7"/>
    </row>
    <row r="70">
      <c r="A70" s="169">
        <v>2.0</v>
      </c>
      <c r="B70" s="168" t="s">
        <v>128</v>
      </c>
      <c r="C70" s="6"/>
      <c r="D70" s="6"/>
      <c r="E70" s="6"/>
      <c r="F70" s="6"/>
      <c r="G70" s="6"/>
      <c r="H70" s="6"/>
      <c r="I70" s="6"/>
      <c r="J70" s="6"/>
      <c r="K70" s="6"/>
      <c r="L70" s="6"/>
      <c r="M70" s="6"/>
      <c r="N70" s="7"/>
    </row>
    <row r="71">
      <c r="A71" s="169">
        <v>3.0</v>
      </c>
      <c r="B71" s="170" t="s">
        <v>129</v>
      </c>
      <c r="C71" s="6"/>
      <c r="D71" s="6"/>
      <c r="E71" s="6"/>
      <c r="F71" s="6"/>
      <c r="G71" s="6"/>
      <c r="H71" s="6"/>
      <c r="I71" s="6"/>
      <c r="J71" s="6"/>
      <c r="K71" s="6"/>
      <c r="L71" s="6"/>
      <c r="M71" s="6"/>
      <c r="N71" s="7"/>
    </row>
    <row r="72">
      <c r="A72" s="169">
        <v>4.0</v>
      </c>
      <c r="B72" s="171" t="s">
        <v>130</v>
      </c>
      <c r="C72" s="6"/>
      <c r="D72" s="6"/>
      <c r="E72" s="6"/>
      <c r="F72" s="6"/>
      <c r="G72" s="6"/>
      <c r="H72" s="6"/>
      <c r="I72" s="6"/>
      <c r="J72" s="6"/>
      <c r="K72" s="6"/>
      <c r="L72" s="6"/>
      <c r="M72" s="6"/>
      <c r="N72" s="7"/>
    </row>
    <row r="73">
      <c r="A73" s="169">
        <v>5.0</v>
      </c>
      <c r="B73" s="170" t="s">
        <v>131</v>
      </c>
      <c r="C73" s="6"/>
      <c r="D73" s="6"/>
      <c r="E73" s="6"/>
      <c r="F73" s="6"/>
      <c r="G73" s="6"/>
      <c r="H73" s="6"/>
      <c r="I73" s="6"/>
      <c r="J73" s="6"/>
      <c r="K73" s="6"/>
      <c r="L73" s="6"/>
      <c r="M73" s="6"/>
      <c r="N73" s="7"/>
    </row>
    <row r="74">
      <c r="A74" s="169">
        <v>6.0</v>
      </c>
      <c r="B74" s="168" t="s">
        <v>132</v>
      </c>
      <c r="C74" s="6"/>
      <c r="D74" s="6"/>
      <c r="E74" s="6"/>
      <c r="F74" s="6"/>
      <c r="G74" s="6"/>
      <c r="H74" s="6"/>
      <c r="I74" s="6"/>
      <c r="J74" s="6"/>
      <c r="K74" s="6"/>
      <c r="L74" s="6"/>
      <c r="M74" s="6"/>
      <c r="N74" s="7"/>
    </row>
    <row r="75">
      <c r="A75" s="169">
        <v>7.0</v>
      </c>
      <c r="B75" s="168" t="s">
        <v>133</v>
      </c>
      <c r="C75" s="6"/>
      <c r="D75" s="6"/>
      <c r="E75" s="6"/>
      <c r="F75" s="6"/>
      <c r="G75" s="6"/>
      <c r="H75" s="6"/>
      <c r="I75" s="6"/>
      <c r="J75" s="6"/>
      <c r="K75" s="6"/>
      <c r="L75" s="6"/>
      <c r="M75" s="6"/>
      <c r="N75" s="7"/>
    </row>
    <row r="76">
      <c r="A76" s="169">
        <v>8.0</v>
      </c>
      <c r="B76" s="168" t="s">
        <v>134</v>
      </c>
      <c r="C76" s="6"/>
      <c r="D76" s="6"/>
      <c r="E76" s="6"/>
      <c r="F76" s="6"/>
      <c r="G76" s="6"/>
      <c r="H76" s="6"/>
      <c r="I76" s="6"/>
      <c r="J76" s="6"/>
      <c r="K76" s="6"/>
      <c r="L76" s="6"/>
      <c r="M76" s="6"/>
      <c r="N76" s="7"/>
    </row>
    <row r="77">
      <c r="A77" s="169">
        <v>9.0</v>
      </c>
      <c r="B77" s="170" t="s">
        <v>135</v>
      </c>
      <c r="C77" s="6"/>
      <c r="D77" s="6"/>
      <c r="E77" s="6"/>
      <c r="F77" s="6"/>
      <c r="G77" s="6"/>
      <c r="H77" s="6"/>
      <c r="I77" s="6"/>
      <c r="J77" s="6"/>
      <c r="K77" s="6"/>
      <c r="L77" s="6"/>
      <c r="M77" s="6"/>
      <c r="N77" s="7"/>
    </row>
    <row r="78">
      <c r="A78" s="169">
        <v>10.0</v>
      </c>
      <c r="B78" s="170" t="s">
        <v>136</v>
      </c>
      <c r="C78" s="6"/>
      <c r="D78" s="6"/>
      <c r="E78" s="6"/>
      <c r="F78" s="6"/>
      <c r="G78" s="6"/>
      <c r="H78" s="6"/>
      <c r="I78" s="6"/>
      <c r="J78" s="6"/>
      <c r="K78" s="6"/>
      <c r="L78" s="6"/>
      <c r="M78" s="6"/>
      <c r="N78" s="7"/>
    </row>
    <row r="79">
      <c r="A79" s="169">
        <v>11.0</v>
      </c>
      <c r="B79" s="170" t="s">
        <v>137</v>
      </c>
      <c r="C79" s="6"/>
      <c r="D79" s="6"/>
      <c r="E79" s="6"/>
      <c r="F79" s="6"/>
      <c r="G79" s="6"/>
      <c r="H79" s="6"/>
      <c r="I79" s="6"/>
      <c r="J79" s="6"/>
      <c r="K79" s="6"/>
      <c r="L79" s="6"/>
      <c r="M79" s="6"/>
      <c r="N79" s="7"/>
    </row>
    <row r="80">
      <c r="A80" s="169">
        <v>12.0</v>
      </c>
      <c r="B80" s="170" t="s">
        <v>138</v>
      </c>
      <c r="C80" s="6"/>
      <c r="D80" s="6"/>
      <c r="E80" s="6"/>
      <c r="F80" s="6"/>
      <c r="G80" s="6"/>
      <c r="H80" s="6"/>
      <c r="I80" s="6"/>
      <c r="J80" s="6"/>
      <c r="K80" s="6"/>
      <c r="L80" s="6"/>
      <c r="M80" s="6"/>
      <c r="N80" s="7"/>
    </row>
    <row r="81">
      <c r="A81" s="169">
        <v>13.0</v>
      </c>
      <c r="B81" s="170" t="s">
        <v>139</v>
      </c>
      <c r="C81" s="6"/>
      <c r="D81" s="6"/>
      <c r="E81" s="6"/>
      <c r="F81" s="6"/>
      <c r="G81" s="6"/>
      <c r="H81" s="6"/>
      <c r="I81" s="6"/>
      <c r="J81" s="6"/>
      <c r="K81" s="6"/>
      <c r="L81" s="6"/>
      <c r="M81" s="6"/>
      <c r="N81" s="7"/>
    </row>
    <row r="82">
      <c r="A82" s="111"/>
      <c r="B82" s="111"/>
      <c r="C82" s="117"/>
      <c r="D82" s="62"/>
      <c r="E82" s="117"/>
    </row>
    <row r="84">
      <c r="A84" s="92"/>
      <c r="B84" s="92"/>
      <c r="C84" s="118"/>
      <c r="D84" s="118"/>
      <c r="E84" s="118"/>
    </row>
    <row r="85">
      <c r="A85" s="92"/>
      <c r="B85" s="92"/>
      <c r="C85" s="172"/>
      <c r="D85" s="173"/>
      <c r="E85" s="174"/>
    </row>
    <row r="86">
      <c r="A86" s="120"/>
      <c r="B86" s="120"/>
      <c r="C86" s="175"/>
      <c r="D86" s="175"/>
      <c r="E86" s="175"/>
    </row>
    <row r="87">
      <c r="A87" s="92"/>
      <c r="B87" s="92"/>
      <c r="C87" s="118"/>
      <c r="D87" s="118"/>
      <c r="E87" s="118"/>
    </row>
    <row r="88">
      <c r="A88" s="92"/>
      <c r="B88" s="92"/>
      <c r="C88" s="118"/>
      <c r="D88" s="118"/>
      <c r="E88" s="118"/>
    </row>
    <row r="89">
      <c r="A89" s="92"/>
      <c r="B89" s="92"/>
      <c r="C89" s="118"/>
      <c r="D89" s="118"/>
      <c r="E89" s="118"/>
    </row>
    <row r="90">
      <c r="A90" s="92"/>
      <c r="B90" s="92"/>
      <c r="C90" s="92"/>
      <c r="D90" s="92"/>
      <c r="E90" s="92"/>
    </row>
    <row r="91">
      <c r="A91" s="92"/>
      <c r="B91" s="92"/>
      <c r="C91" s="118"/>
      <c r="D91" s="118"/>
      <c r="E91" s="118"/>
    </row>
    <row r="92">
      <c r="A92" s="92"/>
      <c r="B92" s="92"/>
      <c r="C92" s="118"/>
      <c r="D92" s="118"/>
      <c r="E92" s="118"/>
    </row>
    <row r="93">
      <c r="A93" s="92"/>
      <c r="B93" s="92"/>
      <c r="C93" s="119"/>
      <c r="D93" s="119"/>
      <c r="E93" s="119"/>
    </row>
    <row r="94">
      <c r="A94" s="92"/>
      <c r="B94" s="92"/>
      <c r="C94" s="118"/>
      <c r="D94" s="118"/>
      <c r="E94" s="118"/>
    </row>
    <row r="95">
      <c r="A95" s="92"/>
      <c r="B95" s="92"/>
      <c r="C95" s="119"/>
      <c r="D95" s="119"/>
      <c r="E95" s="119"/>
    </row>
    <row r="96">
      <c r="A96" s="92"/>
      <c r="B96" s="92"/>
      <c r="C96" s="119"/>
      <c r="D96" s="92"/>
      <c r="E96" s="92"/>
    </row>
    <row r="97">
      <c r="A97" s="92"/>
      <c r="B97" s="92"/>
      <c r="C97" s="119"/>
      <c r="D97" s="92"/>
      <c r="E97" s="92"/>
    </row>
  </sheetData>
  <mergeCells count="14">
    <mergeCell ref="B75:N75"/>
    <mergeCell ref="B76:N76"/>
    <mergeCell ref="B77:N77"/>
    <mergeCell ref="B78:N78"/>
    <mergeCell ref="B79:N79"/>
    <mergeCell ref="B80:N80"/>
    <mergeCell ref="B81:N81"/>
    <mergeCell ref="B1:K1"/>
    <mergeCell ref="B69:N69"/>
    <mergeCell ref="B70:N70"/>
    <mergeCell ref="B71:N71"/>
    <mergeCell ref="B72:N72"/>
    <mergeCell ref="B73:N73"/>
    <mergeCell ref="B74:N7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5A6BD"/>
    <outlinePr summaryBelow="0" summaryRight="0"/>
  </sheetPr>
  <sheetViews>
    <sheetView workbookViewId="0"/>
  </sheetViews>
  <sheetFormatPr customHeight="1" defaultColWidth="12.63" defaultRowHeight="15.75"/>
  <cols>
    <col customWidth="1" min="1" max="1" width="5.25"/>
    <col customWidth="1" min="2" max="2" width="78.38"/>
    <col customWidth="1" min="3" max="3" width="18.75"/>
    <col customWidth="1" min="4" max="7" width="13.0"/>
    <col customWidth="1" min="8" max="8" width="21.75"/>
  </cols>
  <sheetData>
    <row r="1">
      <c r="A1" s="63"/>
      <c r="B1" s="1" t="s">
        <v>0</v>
      </c>
    </row>
    <row r="2">
      <c r="A2" s="63"/>
      <c r="B2" s="63"/>
      <c r="C2" s="64"/>
      <c r="D2" s="65"/>
      <c r="E2" s="65"/>
    </row>
    <row r="3">
      <c r="A3" s="63"/>
      <c r="B3" s="63"/>
      <c r="C3" s="64"/>
      <c r="D3" s="65"/>
      <c r="E3" s="65"/>
    </row>
    <row r="4">
      <c r="A4" s="63"/>
      <c r="B4" s="63" t="s">
        <v>46</v>
      </c>
      <c r="C4" s="64"/>
      <c r="D4" s="65"/>
      <c r="E4" s="65"/>
    </row>
    <row r="5">
      <c r="A5" s="63"/>
      <c r="B5" s="66" t="s">
        <v>21</v>
      </c>
      <c r="C5" s="67">
        <f>'Summary Sheet'!B21</f>
        <v>5000000</v>
      </c>
      <c r="D5" s="63"/>
      <c r="E5" s="65"/>
    </row>
    <row r="6">
      <c r="A6" s="63">
        <v>1.0</v>
      </c>
      <c r="B6" s="68" t="s">
        <v>23</v>
      </c>
      <c r="C6" s="69">
        <f>'Summary Sheet'!B23</f>
        <v>0.1</v>
      </c>
      <c r="D6" s="65"/>
      <c r="E6" s="70"/>
    </row>
    <row r="7">
      <c r="A7" s="63">
        <v>2.0</v>
      </c>
      <c r="B7" s="68" t="s">
        <v>47</v>
      </c>
      <c r="C7" s="69">
        <f>'Summary Sheet'!B24</f>
        <v>0.2</v>
      </c>
      <c r="D7" s="65"/>
      <c r="E7" s="70"/>
    </row>
    <row r="8">
      <c r="A8" s="63">
        <v>3.0</v>
      </c>
      <c r="B8" s="68" t="s">
        <v>48</v>
      </c>
      <c r="C8" s="69">
        <v>0.0012</v>
      </c>
      <c r="D8" s="65"/>
      <c r="E8" s="70"/>
    </row>
    <row r="9">
      <c r="A9" s="63">
        <v>4.0</v>
      </c>
      <c r="B9" s="68" t="s">
        <v>49</v>
      </c>
      <c r="C9" s="69">
        <v>5.0E-4</v>
      </c>
      <c r="D9" s="65"/>
      <c r="E9" s="70"/>
    </row>
    <row r="10">
      <c r="A10" s="63">
        <v>5.0</v>
      </c>
      <c r="B10" s="68" t="s">
        <v>50</v>
      </c>
      <c r="C10" s="69">
        <v>0.18</v>
      </c>
      <c r="D10" s="65"/>
      <c r="E10" s="70"/>
      <c r="H10" s="71"/>
      <c r="I10" s="71"/>
      <c r="J10" s="71"/>
      <c r="K10" s="71"/>
    </row>
    <row r="11">
      <c r="A11" s="63">
        <v>6.0</v>
      </c>
      <c r="B11" s="72" t="s">
        <v>140</v>
      </c>
      <c r="C11" s="73">
        <f>'Summary Sheet'!B22</f>
        <v>0.01</v>
      </c>
      <c r="D11" s="74"/>
      <c r="E11" s="70"/>
    </row>
    <row r="12">
      <c r="A12" s="63"/>
      <c r="B12" s="63"/>
      <c r="C12" s="71"/>
      <c r="D12" s="65"/>
      <c r="E12" s="70"/>
    </row>
    <row r="13">
      <c r="A13" s="63"/>
      <c r="B13" s="63"/>
      <c r="C13" s="71"/>
      <c r="D13" s="65"/>
      <c r="E13" s="75"/>
    </row>
    <row r="14">
      <c r="A14" s="63"/>
      <c r="D14" s="74"/>
      <c r="E14" s="70"/>
    </row>
    <row r="15">
      <c r="A15" s="76"/>
      <c r="B15" s="76"/>
      <c r="C15" s="76"/>
      <c r="D15" s="76"/>
      <c r="E15" s="76"/>
    </row>
    <row r="16">
      <c r="A16" s="76"/>
      <c r="B16" s="17" t="s">
        <v>52</v>
      </c>
      <c r="C16" s="77" t="s">
        <v>26</v>
      </c>
      <c r="D16" s="77" t="s">
        <v>27</v>
      </c>
      <c r="E16" s="77" t="s">
        <v>28</v>
      </c>
      <c r="F16" s="77" t="s">
        <v>29</v>
      </c>
      <c r="G16" s="78" t="s">
        <v>30</v>
      </c>
    </row>
    <row r="17">
      <c r="A17" s="76"/>
      <c r="B17" s="19"/>
      <c r="C17" s="79"/>
      <c r="D17" s="79"/>
      <c r="E17" s="79"/>
      <c r="G17" s="60"/>
    </row>
    <row r="18">
      <c r="A18" s="123" t="s">
        <v>53</v>
      </c>
      <c r="B18" s="81" t="s">
        <v>25</v>
      </c>
      <c r="C18" s="71">
        <v>0.2</v>
      </c>
      <c r="D18" s="71">
        <v>0.0</v>
      </c>
      <c r="E18" s="71">
        <v>-0.2</v>
      </c>
      <c r="F18" s="71">
        <v>0.16</v>
      </c>
      <c r="G18" s="71">
        <v>0.21</v>
      </c>
    </row>
    <row r="19">
      <c r="A19" s="124" t="s">
        <v>54</v>
      </c>
      <c r="B19" s="83" t="s">
        <v>55</v>
      </c>
      <c r="C19" s="84">
        <v>0.14</v>
      </c>
      <c r="D19" s="84">
        <v>-0.05</v>
      </c>
      <c r="E19" s="84">
        <v>-0.25</v>
      </c>
      <c r="F19" s="84">
        <v>0.14</v>
      </c>
      <c r="G19" s="125">
        <v>0.2</v>
      </c>
    </row>
    <row r="20">
      <c r="A20" s="124" t="s">
        <v>56</v>
      </c>
      <c r="B20" s="83" t="s">
        <v>57</v>
      </c>
      <c r="C20" s="85">
        <f t="shared" ref="C20:G20" si="1">C18-C19</f>
        <v>0.06</v>
      </c>
      <c r="D20" s="85">
        <f t="shared" si="1"/>
        <v>0.05</v>
      </c>
      <c r="E20" s="85">
        <f t="shared" si="1"/>
        <v>0.05</v>
      </c>
      <c r="F20" s="85">
        <f t="shared" si="1"/>
        <v>0.02</v>
      </c>
      <c r="G20" s="86">
        <f t="shared" si="1"/>
        <v>0.01</v>
      </c>
    </row>
    <row r="21">
      <c r="A21" s="124" t="s">
        <v>58</v>
      </c>
      <c r="B21" s="126" t="s">
        <v>90</v>
      </c>
      <c r="C21" s="87">
        <f t="shared" ref="C21:G21" si="2">$C$22</f>
        <v>5000000</v>
      </c>
      <c r="D21" s="87">
        <f t="shared" si="2"/>
        <v>5000000</v>
      </c>
      <c r="E21" s="87">
        <f t="shared" si="2"/>
        <v>5000000</v>
      </c>
      <c r="F21" s="87">
        <f t="shared" si="2"/>
        <v>5000000</v>
      </c>
      <c r="G21" s="87">
        <f t="shared" si="2"/>
        <v>5000000</v>
      </c>
    </row>
    <row r="22">
      <c r="A22" s="124" t="s">
        <v>60</v>
      </c>
      <c r="B22" s="127" t="s">
        <v>141</v>
      </c>
      <c r="C22" s="62">
        <f t="shared" ref="C22:G22" si="3">$C$5</f>
        <v>5000000</v>
      </c>
      <c r="D22" s="62">
        <f t="shared" si="3"/>
        <v>5000000</v>
      </c>
      <c r="E22" s="62">
        <f t="shared" si="3"/>
        <v>5000000</v>
      </c>
      <c r="F22" s="62">
        <f t="shared" si="3"/>
        <v>5000000</v>
      </c>
      <c r="G22" s="62">
        <f t="shared" si="3"/>
        <v>5000000</v>
      </c>
    </row>
    <row r="23">
      <c r="A23" s="124" t="s">
        <v>62</v>
      </c>
      <c r="B23" s="127" t="s">
        <v>142</v>
      </c>
      <c r="C23" s="62">
        <f t="shared" ref="C23:G23" si="4">C22*C18</f>
        <v>1000000</v>
      </c>
      <c r="D23" s="62">
        <f t="shared" si="4"/>
        <v>0</v>
      </c>
      <c r="E23" s="62">
        <f t="shared" si="4"/>
        <v>-1000000</v>
      </c>
      <c r="F23" s="62">
        <f t="shared" si="4"/>
        <v>800000</v>
      </c>
      <c r="G23" s="62">
        <f t="shared" si="4"/>
        <v>1050000</v>
      </c>
    </row>
    <row r="24">
      <c r="A24" s="124" t="s">
        <v>64</v>
      </c>
      <c r="B24" s="88" t="s">
        <v>65</v>
      </c>
      <c r="C24" s="62">
        <f t="shared" ref="C24:G24" si="5">C23+C22</f>
        <v>6000000</v>
      </c>
      <c r="D24" s="62">
        <f t="shared" si="5"/>
        <v>5000000</v>
      </c>
      <c r="E24" s="62">
        <f t="shared" si="5"/>
        <v>4000000</v>
      </c>
      <c r="F24" s="62">
        <f t="shared" si="5"/>
        <v>5800000</v>
      </c>
      <c r="G24" s="62">
        <f t="shared" si="5"/>
        <v>6050000</v>
      </c>
    </row>
    <row r="25">
      <c r="A25" s="128" t="s">
        <v>66</v>
      </c>
      <c r="B25" s="176" t="s">
        <v>143</v>
      </c>
      <c r="C25" s="62">
        <f t="shared" ref="C25:G25" si="6">(C24+C22)/2</f>
        <v>5500000</v>
      </c>
      <c r="D25" s="62">
        <f t="shared" si="6"/>
        <v>5000000</v>
      </c>
      <c r="E25" s="62">
        <f t="shared" si="6"/>
        <v>4500000</v>
      </c>
      <c r="F25" s="62">
        <f t="shared" si="6"/>
        <v>5400000</v>
      </c>
      <c r="G25" s="62">
        <f t="shared" si="6"/>
        <v>5525000</v>
      </c>
    </row>
    <row r="26">
      <c r="A26" s="129"/>
      <c r="B26" s="93"/>
      <c r="C26" s="94"/>
      <c r="D26" s="94"/>
      <c r="E26" s="94"/>
      <c r="F26" s="94"/>
      <c r="G26" s="94"/>
    </row>
    <row r="27">
      <c r="A27" s="124" t="s">
        <v>68</v>
      </c>
      <c r="B27" s="88" t="s">
        <v>69</v>
      </c>
      <c r="C27" s="64">
        <f t="shared" ref="C27:G27" si="7">C25*$C$8</f>
        <v>6600</v>
      </c>
      <c r="D27" s="64">
        <f t="shared" si="7"/>
        <v>6000</v>
      </c>
      <c r="E27" s="64">
        <f t="shared" si="7"/>
        <v>5400</v>
      </c>
      <c r="F27" s="64">
        <f t="shared" si="7"/>
        <v>6480</v>
      </c>
      <c r="G27" s="64">
        <f t="shared" si="7"/>
        <v>6630</v>
      </c>
    </row>
    <row r="28">
      <c r="A28" s="130" t="s">
        <v>70</v>
      </c>
      <c r="B28" s="127" t="s">
        <v>92</v>
      </c>
      <c r="C28" s="64">
        <f t="shared" ref="C28:G28" si="8">C25*$C$9</f>
        <v>2750</v>
      </c>
      <c r="D28" s="64">
        <f t="shared" si="8"/>
        <v>2500</v>
      </c>
      <c r="E28" s="64">
        <f t="shared" si="8"/>
        <v>2250</v>
      </c>
      <c r="F28" s="64">
        <f t="shared" si="8"/>
        <v>2700</v>
      </c>
      <c r="G28" s="64">
        <f t="shared" si="8"/>
        <v>2762.5</v>
      </c>
    </row>
    <row r="29">
      <c r="A29" s="131" t="s">
        <v>72</v>
      </c>
      <c r="B29" s="127" t="s">
        <v>93</v>
      </c>
      <c r="C29" s="64">
        <f t="shared" ref="C29:G29" si="9">(C25-C27-C28)*$C$11*(1+$C$10)</f>
        <v>64789.67</v>
      </c>
      <c r="D29" s="64">
        <f t="shared" si="9"/>
        <v>58899.7</v>
      </c>
      <c r="E29" s="64">
        <f t="shared" si="9"/>
        <v>53009.73</v>
      </c>
      <c r="F29" s="64">
        <f t="shared" si="9"/>
        <v>63611.676</v>
      </c>
      <c r="G29" s="64">
        <f t="shared" si="9"/>
        <v>65084.1685</v>
      </c>
    </row>
    <row r="30">
      <c r="A30" s="132"/>
      <c r="B30" s="98"/>
      <c r="C30" s="64"/>
      <c r="D30" s="64"/>
      <c r="E30" s="64"/>
      <c r="F30" s="64"/>
      <c r="G30" s="64"/>
    </row>
    <row r="31">
      <c r="A31" s="131" t="s">
        <v>74</v>
      </c>
      <c r="B31" s="127" t="s">
        <v>94</v>
      </c>
      <c r="C31" s="64">
        <f t="shared" ref="C31:G31" si="10">C24-C27-C29-C28</f>
        <v>5925860.33</v>
      </c>
      <c r="D31" s="64">
        <f t="shared" si="10"/>
        <v>4932600.3</v>
      </c>
      <c r="E31" s="64">
        <f t="shared" si="10"/>
        <v>3939340.27</v>
      </c>
      <c r="F31" s="64">
        <f t="shared" si="10"/>
        <v>5727208.324</v>
      </c>
      <c r="G31" s="64">
        <f t="shared" si="10"/>
        <v>5975523.332</v>
      </c>
    </row>
    <row r="32">
      <c r="A32" s="129"/>
      <c r="B32" s="93"/>
    </row>
    <row r="33">
      <c r="A33" s="131" t="s">
        <v>76</v>
      </c>
      <c r="B33" s="133" t="s">
        <v>95</v>
      </c>
      <c r="C33" s="103">
        <f t="shared" ref="C33:G33" si="11">C31/C21-1</f>
        <v>0.185172066</v>
      </c>
      <c r="D33" s="103">
        <f t="shared" si="11"/>
        <v>-0.01347994</v>
      </c>
      <c r="E33" s="103">
        <f t="shared" si="11"/>
        <v>-0.212131946</v>
      </c>
      <c r="F33" s="103">
        <f t="shared" si="11"/>
        <v>0.1454416648</v>
      </c>
      <c r="G33" s="103">
        <f t="shared" si="11"/>
        <v>0.1951046663</v>
      </c>
    </row>
    <row r="34">
      <c r="A34" s="134" t="s">
        <v>78</v>
      </c>
      <c r="B34" s="135" t="s">
        <v>144</v>
      </c>
      <c r="C34" s="85">
        <f t="shared" ref="C34:G34" si="12">$C$6</f>
        <v>0.1</v>
      </c>
      <c r="D34" s="85">
        <f t="shared" si="12"/>
        <v>0.1</v>
      </c>
      <c r="E34" s="85">
        <f t="shared" si="12"/>
        <v>0.1</v>
      </c>
      <c r="F34" s="85">
        <f t="shared" si="12"/>
        <v>0.1</v>
      </c>
      <c r="G34" s="85">
        <f t="shared" si="12"/>
        <v>0.1</v>
      </c>
    </row>
    <row r="35">
      <c r="A35" s="132"/>
      <c r="B35" s="93"/>
    </row>
    <row r="36">
      <c r="A36" s="131" t="s">
        <v>80</v>
      </c>
      <c r="B36" s="127" t="s">
        <v>97</v>
      </c>
      <c r="C36" s="103">
        <f t="shared" ref="C36:G36" si="13">if(C33-C34&lt;0,0,C33-C34)</f>
        <v>0.085172066</v>
      </c>
      <c r="D36" s="103">
        <f t="shared" si="13"/>
        <v>0</v>
      </c>
      <c r="E36" s="103">
        <f t="shared" si="13"/>
        <v>0</v>
      </c>
      <c r="F36" s="103">
        <f t="shared" si="13"/>
        <v>0.0454416648</v>
      </c>
      <c r="G36" s="103">
        <f t="shared" si="13"/>
        <v>0.0951046663</v>
      </c>
    </row>
    <row r="37">
      <c r="A37" s="129"/>
      <c r="B37" s="93"/>
      <c r="C37" s="103"/>
      <c r="D37" s="103"/>
      <c r="E37" s="103"/>
      <c r="F37" s="103"/>
      <c r="G37" s="103"/>
    </row>
    <row r="38">
      <c r="A38" s="131" t="s">
        <v>82</v>
      </c>
      <c r="B38" s="127" t="s">
        <v>98</v>
      </c>
      <c r="C38" s="103">
        <f t="shared" ref="C38:G38" si="14">C36*($C$7*(1+$C10))</f>
        <v>0.02010060758</v>
      </c>
      <c r="D38" s="103">
        <f t="shared" si="14"/>
        <v>0</v>
      </c>
      <c r="E38" s="103">
        <f t="shared" si="14"/>
        <v>0</v>
      </c>
      <c r="F38" s="103">
        <f t="shared" si="14"/>
        <v>0.01072423289</v>
      </c>
      <c r="G38" s="103">
        <f t="shared" si="14"/>
        <v>0.02244470125</v>
      </c>
    </row>
    <row r="39">
      <c r="A39" s="129"/>
      <c r="B39" s="93"/>
      <c r="C39" s="107"/>
      <c r="D39" s="107"/>
      <c r="E39" s="107"/>
      <c r="F39" s="107"/>
      <c r="G39" s="107"/>
      <c r="L39" s="107"/>
      <c r="M39" s="107"/>
      <c r="N39" s="107"/>
    </row>
    <row r="40">
      <c r="A40" s="131" t="s">
        <v>84</v>
      </c>
      <c r="B40" s="127" t="s">
        <v>99</v>
      </c>
      <c r="C40" s="136">
        <f t="shared" ref="C40:G40" si="15">C33-C38</f>
        <v>0.1650714584</v>
      </c>
      <c r="D40" s="136">
        <f t="shared" si="15"/>
        <v>-0.01347994</v>
      </c>
      <c r="E40" s="136">
        <f t="shared" si="15"/>
        <v>-0.212131946</v>
      </c>
      <c r="F40" s="136">
        <f t="shared" si="15"/>
        <v>0.1347174319</v>
      </c>
      <c r="G40" s="136">
        <f t="shared" si="15"/>
        <v>0.1726599651</v>
      </c>
      <c r="L40" s="107"/>
      <c r="M40" s="107"/>
      <c r="N40" s="107"/>
    </row>
    <row r="41">
      <c r="A41" s="132"/>
      <c r="B41" s="98"/>
      <c r="C41" s="138"/>
      <c r="D41" s="138"/>
      <c r="E41" s="138"/>
      <c r="F41" s="138"/>
      <c r="G41" s="138"/>
      <c r="L41" s="107"/>
      <c r="M41" s="107"/>
      <c r="N41" s="107"/>
    </row>
    <row r="42">
      <c r="A42" s="140" t="s">
        <v>100</v>
      </c>
      <c r="B42" s="141" t="s">
        <v>145</v>
      </c>
      <c r="C42" s="142">
        <f t="shared" ref="C42:G42" si="16">C19</f>
        <v>0.14</v>
      </c>
      <c r="D42" s="142">
        <f t="shared" si="16"/>
        <v>-0.05</v>
      </c>
      <c r="E42" s="142">
        <f t="shared" si="16"/>
        <v>-0.25</v>
      </c>
      <c r="F42" s="142">
        <f t="shared" si="16"/>
        <v>0.14</v>
      </c>
      <c r="G42" s="142">
        <f t="shared" si="16"/>
        <v>0.2</v>
      </c>
      <c r="L42" s="107"/>
      <c r="M42" s="107"/>
      <c r="N42" s="107"/>
    </row>
    <row r="43">
      <c r="A43" s="129"/>
      <c r="B43" s="93"/>
      <c r="C43" s="107"/>
      <c r="D43" s="107"/>
      <c r="E43" s="107"/>
      <c r="F43" s="107"/>
      <c r="G43" s="107"/>
      <c r="L43" s="107"/>
      <c r="M43" s="107"/>
      <c r="N43" s="107"/>
    </row>
    <row r="44">
      <c r="A44" s="144" t="s">
        <v>102</v>
      </c>
      <c r="B44" s="145" t="s">
        <v>103</v>
      </c>
      <c r="C44" s="146">
        <f t="shared" ref="C44:G44" si="17">if(C40&lt;C42,max(0%,C33-C42),C38)</f>
        <v>0.02010060758</v>
      </c>
      <c r="D44" s="146">
        <f t="shared" si="17"/>
        <v>0</v>
      </c>
      <c r="E44" s="146">
        <f t="shared" si="17"/>
        <v>0</v>
      </c>
      <c r="F44" s="146">
        <f t="shared" si="17"/>
        <v>0.0054416648</v>
      </c>
      <c r="G44" s="146">
        <f t="shared" si="17"/>
        <v>0</v>
      </c>
      <c r="L44" s="107"/>
      <c r="M44" s="107"/>
      <c r="N44" s="107"/>
    </row>
    <row r="45">
      <c r="A45" s="148"/>
      <c r="B45" s="93"/>
      <c r="L45" s="107"/>
      <c r="M45" s="107"/>
      <c r="N45" s="107"/>
    </row>
    <row r="46">
      <c r="A46" s="150" t="s">
        <v>104</v>
      </c>
      <c r="B46" s="127" t="s">
        <v>105</v>
      </c>
      <c r="C46" s="151">
        <f t="shared" ref="C46:G46" si="18">C38-C44</f>
        <v>0</v>
      </c>
      <c r="D46" s="151">
        <f t="shared" si="18"/>
        <v>0</v>
      </c>
      <c r="E46" s="151">
        <f t="shared" si="18"/>
        <v>0</v>
      </c>
      <c r="F46" s="151">
        <f t="shared" si="18"/>
        <v>0.005282568093</v>
      </c>
      <c r="G46" s="151">
        <f t="shared" si="18"/>
        <v>0.02244470125</v>
      </c>
      <c r="L46" s="107"/>
      <c r="M46" s="107"/>
      <c r="N46" s="107"/>
    </row>
    <row r="47">
      <c r="A47" s="148"/>
      <c r="B47" s="93"/>
      <c r="C47" s="107"/>
      <c r="D47" s="107"/>
      <c r="E47" s="107"/>
      <c r="F47" s="107"/>
      <c r="G47" s="107"/>
      <c r="L47" s="107"/>
      <c r="M47" s="107"/>
      <c r="N47" s="107"/>
    </row>
    <row r="48">
      <c r="A48" s="153" t="s">
        <v>106</v>
      </c>
      <c r="B48" s="154" t="s">
        <v>107</v>
      </c>
      <c r="C48" s="155">
        <f t="shared" ref="C48:G48" si="19">C22*C38</f>
        <v>100503.0379</v>
      </c>
      <c r="D48" s="155">
        <f t="shared" si="19"/>
        <v>0</v>
      </c>
      <c r="E48" s="155">
        <f t="shared" si="19"/>
        <v>0</v>
      </c>
      <c r="F48" s="155">
        <f t="shared" si="19"/>
        <v>53621.16446</v>
      </c>
      <c r="G48" s="155">
        <f t="shared" si="19"/>
        <v>112223.5062</v>
      </c>
    </row>
    <row r="49">
      <c r="A49" s="148"/>
      <c r="B49" s="157"/>
      <c r="C49" s="158"/>
      <c r="D49" s="158"/>
      <c r="E49" s="158"/>
      <c r="F49" s="158"/>
      <c r="G49" s="158"/>
    </row>
    <row r="50">
      <c r="A50" s="134" t="s">
        <v>108</v>
      </c>
      <c r="B50" s="154" t="s">
        <v>109</v>
      </c>
      <c r="C50" s="160">
        <f t="shared" ref="C50:G50" si="20">C22*C44</f>
        <v>100503.0379</v>
      </c>
      <c r="D50" s="160">
        <f t="shared" si="20"/>
        <v>0</v>
      </c>
      <c r="E50" s="160">
        <f t="shared" si="20"/>
        <v>0</v>
      </c>
      <c r="F50" s="160">
        <f t="shared" si="20"/>
        <v>27208.324</v>
      </c>
      <c r="G50" s="160">
        <f t="shared" si="20"/>
        <v>0</v>
      </c>
    </row>
    <row r="51">
      <c r="A51" s="129"/>
      <c r="B51" s="157"/>
      <c r="C51" s="158"/>
      <c r="D51" s="158"/>
      <c r="E51" s="158"/>
      <c r="F51" s="158"/>
      <c r="G51" s="158"/>
    </row>
    <row r="52">
      <c r="A52" s="131" t="s">
        <v>110</v>
      </c>
      <c r="B52" s="154" t="s">
        <v>111</v>
      </c>
      <c r="C52" s="155">
        <f t="shared" ref="C52:G52" si="21">C48-C50</f>
        <v>0</v>
      </c>
      <c r="D52" s="155">
        <f t="shared" si="21"/>
        <v>0</v>
      </c>
      <c r="E52" s="155">
        <f t="shared" si="21"/>
        <v>0</v>
      </c>
      <c r="F52" s="155">
        <f t="shared" si="21"/>
        <v>26412.84046</v>
      </c>
      <c r="G52" s="155">
        <f t="shared" si="21"/>
        <v>112223.5062</v>
      </c>
    </row>
    <row r="53">
      <c r="A53" s="129"/>
      <c r="B53" s="93"/>
    </row>
    <row r="54">
      <c r="A54" s="130" t="s">
        <v>112</v>
      </c>
      <c r="B54" s="162" t="s">
        <v>113</v>
      </c>
      <c r="C54" s="62">
        <f t="shared" ref="C54:G54" si="22">C31-C50</f>
        <v>5825357.292</v>
      </c>
      <c r="D54" s="62">
        <f t="shared" si="22"/>
        <v>4932600.3</v>
      </c>
      <c r="E54" s="62">
        <f t="shared" si="22"/>
        <v>3939340.27</v>
      </c>
      <c r="F54" s="62">
        <f t="shared" si="22"/>
        <v>5700000</v>
      </c>
      <c r="G54" s="62">
        <f t="shared" si="22"/>
        <v>5975523.332</v>
      </c>
    </row>
    <row r="55">
      <c r="A55" s="129"/>
      <c r="B55" s="93"/>
    </row>
    <row r="56">
      <c r="A56" s="130" t="s">
        <v>114</v>
      </c>
      <c r="B56" s="162" t="s">
        <v>146</v>
      </c>
      <c r="C56" s="62">
        <f t="shared" ref="C56:G56" si="23">C52</f>
        <v>0</v>
      </c>
      <c r="D56" s="62">
        <f t="shared" si="23"/>
        <v>0</v>
      </c>
      <c r="E56" s="62">
        <f t="shared" si="23"/>
        <v>0</v>
      </c>
      <c r="F56" s="62">
        <f t="shared" si="23"/>
        <v>26412.84046</v>
      </c>
      <c r="G56" s="62">
        <f t="shared" si="23"/>
        <v>112223.5062</v>
      </c>
    </row>
    <row r="57">
      <c r="A57" s="129"/>
      <c r="B57" s="98"/>
    </row>
    <row r="58">
      <c r="A58" s="130" t="s">
        <v>116</v>
      </c>
      <c r="B58" s="162" t="s">
        <v>117</v>
      </c>
      <c r="C58" s="62">
        <f t="shared" ref="C58:G58" si="24">if(C36=0,0,IF(C33-C42-C44&lt;0,0,C33-C42-C44)*C22)</f>
        <v>125357.2921</v>
      </c>
      <c r="D58" s="62">
        <f t="shared" si="24"/>
        <v>0</v>
      </c>
      <c r="E58" s="62">
        <f t="shared" si="24"/>
        <v>0</v>
      </c>
      <c r="F58" s="62">
        <f t="shared" si="24"/>
        <v>0</v>
      </c>
      <c r="G58" s="62">
        <f t="shared" si="24"/>
        <v>0</v>
      </c>
    </row>
    <row r="59">
      <c r="A59" s="129"/>
      <c r="B59" s="98"/>
      <c r="C59" s="62"/>
      <c r="D59" s="62"/>
      <c r="E59" s="62"/>
      <c r="F59" s="62"/>
      <c r="G59" s="62"/>
    </row>
    <row r="60">
      <c r="A60" s="130" t="s">
        <v>118</v>
      </c>
      <c r="B60" s="162" t="s">
        <v>119</v>
      </c>
      <c r="C60" s="62">
        <f t="shared" ref="C60:G60" si="25">if(C56=0,0,if(C58=0,0,if(C58-C56&lt;0,C58,if(C58&gt;C56,C56))))</f>
        <v>0</v>
      </c>
      <c r="D60" s="62">
        <f t="shared" si="25"/>
        <v>0</v>
      </c>
      <c r="E60" s="62">
        <f t="shared" si="25"/>
        <v>0</v>
      </c>
      <c r="F60" s="62">
        <f t="shared" si="25"/>
        <v>0</v>
      </c>
      <c r="G60" s="62">
        <f t="shared" si="25"/>
        <v>0</v>
      </c>
    </row>
    <row r="61">
      <c r="A61" s="129"/>
      <c r="B61" s="93"/>
      <c r="C61" s="62"/>
      <c r="D61" s="62"/>
      <c r="E61" s="62"/>
      <c r="F61" s="62"/>
      <c r="G61" s="62"/>
    </row>
    <row r="62">
      <c r="A62" s="130" t="s">
        <v>120</v>
      </c>
      <c r="B62" s="162" t="s">
        <v>121</v>
      </c>
      <c r="C62" s="62">
        <f t="shared" ref="C62:G62" si="26">C56-C60</f>
        <v>0</v>
      </c>
      <c r="D62" s="62">
        <f t="shared" si="26"/>
        <v>0</v>
      </c>
      <c r="E62" s="62">
        <f t="shared" si="26"/>
        <v>0</v>
      </c>
      <c r="F62" s="62">
        <f t="shared" si="26"/>
        <v>26412.84046</v>
      </c>
      <c r="G62" s="62">
        <f t="shared" si="26"/>
        <v>112223.5062</v>
      </c>
    </row>
    <row r="63">
      <c r="A63" s="129"/>
      <c r="B63" s="93"/>
      <c r="C63" s="62"/>
      <c r="D63" s="62"/>
      <c r="E63" s="62"/>
      <c r="F63" s="62"/>
      <c r="G63" s="62"/>
    </row>
    <row r="64">
      <c r="A64" s="130" t="s">
        <v>122</v>
      </c>
      <c r="B64" s="162" t="s">
        <v>123</v>
      </c>
      <c r="C64" s="62">
        <f t="shared" ref="C64:G64" si="27">C54-C60</f>
        <v>5825357.292</v>
      </c>
      <c r="D64" s="62">
        <f t="shared" si="27"/>
        <v>4932600.3</v>
      </c>
      <c r="E64" s="62">
        <f t="shared" si="27"/>
        <v>3939340.27</v>
      </c>
      <c r="F64" s="62">
        <f t="shared" si="27"/>
        <v>5700000</v>
      </c>
      <c r="G64" s="62">
        <f t="shared" si="27"/>
        <v>5975523.332</v>
      </c>
      <c r="H64" s="43">
        <f>(G64/C21)^(1/5)-1</f>
        <v>0.0362897163</v>
      </c>
    </row>
    <row r="65">
      <c r="A65" s="129"/>
      <c r="B65" s="93"/>
    </row>
    <row r="66">
      <c r="A66" s="130" t="s">
        <v>124</v>
      </c>
      <c r="B66" s="163" t="s">
        <v>125</v>
      </c>
      <c r="C66" s="164">
        <f t="shared" ref="C66:G66" si="28">C64/C22-1</f>
        <v>0.1650714584</v>
      </c>
      <c r="D66" s="164">
        <f t="shared" si="28"/>
        <v>-0.01347994</v>
      </c>
      <c r="E66" s="164">
        <f t="shared" si="28"/>
        <v>-0.212131946</v>
      </c>
      <c r="F66" s="164">
        <f t="shared" si="28"/>
        <v>0.14</v>
      </c>
      <c r="G66" s="164">
        <f t="shared" si="28"/>
        <v>0.1951046663</v>
      </c>
    </row>
    <row r="68">
      <c r="B68" s="166" t="s">
        <v>126</v>
      </c>
      <c r="E68" s="43"/>
    </row>
    <row r="69">
      <c r="A69" s="177">
        <v>1.0</v>
      </c>
      <c r="B69" s="178" t="s">
        <v>147</v>
      </c>
      <c r="C69" s="6"/>
      <c r="D69" s="6"/>
      <c r="E69" s="6"/>
      <c r="F69" s="6"/>
      <c r="G69" s="6"/>
      <c r="H69" s="6"/>
      <c r="I69" s="6"/>
      <c r="J69" s="6"/>
      <c r="K69" s="6"/>
      <c r="L69" s="7"/>
      <c r="M69" s="179"/>
      <c r="N69" s="179"/>
    </row>
    <row r="70">
      <c r="A70" s="180">
        <v>2.0</v>
      </c>
      <c r="B70" s="178" t="s">
        <v>148</v>
      </c>
      <c r="C70" s="6"/>
      <c r="D70" s="6"/>
      <c r="E70" s="6"/>
      <c r="F70" s="6"/>
      <c r="G70" s="6"/>
      <c r="H70" s="6"/>
      <c r="I70" s="6"/>
      <c r="J70" s="6"/>
      <c r="K70" s="6"/>
      <c r="L70" s="7"/>
      <c r="M70" s="179"/>
      <c r="N70" s="179"/>
    </row>
    <row r="71">
      <c r="A71" s="180">
        <v>3.0</v>
      </c>
      <c r="B71" s="178" t="s">
        <v>129</v>
      </c>
      <c r="C71" s="6"/>
      <c r="D71" s="6"/>
      <c r="E71" s="6"/>
      <c r="F71" s="6"/>
      <c r="G71" s="6"/>
      <c r="H71" s="6"/>
      <c r="I71" s="6"/>
      <c r="J71" s="6"/>
      <c r="K71" s="6"/>
      <c r="L71" s="7"/>
      <c r="M71" s="179"/>
      <c r="N71" s="179"/>
    </row>
    <row r="72">
      <c r="A72" s="180">
        <v>4.0</v>
      </c>
      <c r="B72" s="181" t="s">
        <v>130</v>
      </c>
      <c r="C72" s="6"/>
      <c r="D72" s="6"/>
      <c r="E72" s="6"/>
      <c r="F72" s="6"/>
      <c r="G72" s="6"/>
      <c r="H72" s="6"/>
      <c r="I72" s="6"/>
      <c r="J72" s="6"/>
      <c r="K72" s="6"/>
      <c r="L72" s="7"/>
      <c r="M72" s="182"/>
      <c r="N72" s="182"/>
    </row>
    <row r="73">
      <c r="A73" s="180">
        <v>5.0</v>
      </c>
      <c r="B73" s="178" t="s">
        <v>131</v>
      </c>
      <c r="C73" s="6"/>
      <c r="D73" s="6"/>
      <c r="E73" s="6"/>
      <c r="F73" s="6"/>
      <c r="G73" s="6"/>
      <c r="H73" s="6"/>
      <c r="I73" s="6"/>
      <c r="J73" s="6"/>
      <c r="K73" s="6"/>
      <c r="L73" s="7"/>
      <c r="M73" s="179"/>
      <c r="N73" s="179"/>
    </row>
    <row r="74">
      <c r="A74" s="180">
        <v>6.0</v>
      </c>
      <c r="B74" s="178" t="s">
        <v>132</v>
      </c>
      <c r="C74" s="6"/>
      <c r="D74" s="6"/>
      <c r="E74" s="6"/>
      <c r="F74" s="6"/>
      <c r="G74" s="6"/>
      <c r="H74" s="6"/>
      <c r="I74" s="6"/>
      <c r="J74" s="6"/>
      <c r="K74" s="6"/>
      <c r="L74" s="7"/>
      <c r="M74" s="179"/>
      <c r="N74" s="179"/>
    </row>
    <row r="75">
      <c r="A75" s="180">
        <v>7.0</v>
      </c>
      <c r="B75" s="178" t="s">
        <v>149</v>
      </c>
      <c r="C75" s="6"/>
      <c r="D75" s="6"/>
      <c r="E75" s="6"/>
      <c r="F75" s="6"/>
      <c r="G75" s="6"/>
      <c r="H75" s="6"/>
      <c r="I75" s="6"/>
      <c r="J75" s="6"/>
      <c r="K75" s="6"/>
      <c r="L75" s="7"/>
      <c r="M75" s="179"/>
      <c r="N75" s="179"/>
    </row>
    <row r="76">
      <c r="A76" s="180">
        <v>8.0</v>
      </c>
      <c r="B76" s="178" t="s">
        <v>134</v>
      </c>
      <c r="C76" s="6"/>
      <c r="D76" s="6"/>
      <c r="E76" s="6"/>
      <c r="F76" s="6"/>
      <c r="G76" s="6"/>
      <c r="H76" s="6"/>
      <c r="I76" s="6"/>
      <c r="J76" s="6"/>
      <c r="K76" s="6"/>
      <c r="L76" s="7"/>
      <c r="M76" s="179"/>
      <c r="N76" s="179"/>
    </row>
    <row r="77">
      <c r="A77" s="180">
        <v>9.0</v>
      </c>
      <c r="B77" s="178" t="s">
        <v>135</v>
      </c>
      <c r="C77" s="6"/>
      <c r="D77" s="6"/>
      <c r="E77" s="6"/>
      <c r="F77" s="6"/>
      <c r="G77" s="6"/>
      <c r="H77" s="6"/>
      <c r="I77" s="6"/>
      <c r="J77" s="6"/>
      <c r="K77" s="6"/>
      <c r="L77" s="7"/>
      <c r="M77" s="179"/>
      <c r="N77" s="179"/>
    </row>
    <row r="78">
      <c r="A78" s="180">
        <v>10.0</v>
      </c>
      <c r="B78" s="178" t="s">
        <v>150</v>
      </c>
      <c r="C78" s="6"/>
      <c r="D78" s="6"/>
      <c r="E78" s="6"/>
      <c r="F78" s="6"/>
      <c r="G78" s="6"/>
      <c r="H78" s="6"/>
      <c r="I78" s="6"/>
      <c r="J78" s="6"/>
      <c r="K78" s="6"/>
      <c r="L78" s="7"/>
      <c r="M78" s="179"/>
      <c r="N78" s="179"/>
    </row>
    <row r="79">
      <c r="A79" s="180">
        <v>11.0</v>
      </c>
      <c r="B79" s="178" t="s">
        <v>137</v>
      </c>
      <c r="C79" s="6"/>
      <c r="D79" s="6"/>
      <c r="E79" s="6"/>
      <c r="F79" s="6"/>
      <c r="G79" s="6"/>
      <c r="H79" s="6"/>
      <c r="I79" s="6"/>
      <c r="J79" s="6"/>
      <c r="K79" s="6"/>
      <c r="L79" s="7"/>
      <c r="M79" s="179"/>
      <c r="N79" s="179"/>
    </row>
    <row r="80">
      <c r="A80" s="169">
        <v>12.0</v>
      </c>
      <c r="B80" s="183" t="s">
        <v>151</v>
      </c>
      <c r="C80" s="6"/>
      <c r="D80" s="6"/>
      <c r="E80" s="6"/>
      <c r="F80" s="6"/>
      <c r="G80" s="6"/>
      <c r="H80" s="6"/>
      <c r="I80" s="6"/>
      <c r="J80" s="6"/>
      <c r="K80" s="6"/>
      <c r="L80" s="7"/>
      <c r="M80" s="184"/>
      <c r="N80" s="184"/>
    </row>
    <row r="81">
      <c r="A81" s="169">
        <v>13.0</v>
      </c>
      <c r="B81" s="183" t="s">
        <v>152</v>
      </c>
      <c r="C81" s="6"/>
      <c r="D81" s="6"/>
      <c r="E81" s="6"/>
      <c r="F81" s="6"/>
      <c r="G81" s="6"/>
      <c r="H81" s="6"/>
      <c r="I81" s="6"/>
      <c r="J81" s="6"/>
      <c r="K81" s="6"/>
      <c r="L81" s="7"/>
      <c r="M81" s="184"/>
      <c r="N81" s="184"/>
    </row>
    <row r="82">
      <c r="A82" s="111"/>
      <c r="B82" s="111"/>
      <c r="C82" s="117"/>
      <c r="D82" s="62"/>
      <c r="E82" s="117"/>
    </row>
    <row r="84">
      <c r="A84" s="92"/>
      <c r="B84" s="92"/>
      <c r="C84" s="118"/>
      <c r="D84" s="118"/>
      <c r="E84" s="118"/>
    </row>
    <row r="85">
      <c r="A85" s="92"/>
      <c r="B85" s="92"/>
      <c r="C85" s="172"/>
      <c r="D85" s="173"/>
      <c r="E85" s="174"/>
    </row>
    <row r="86">
      <c r="A86" s="120"/>
      <c r="B86" s="120"/>
      <c r="C86" s="175"/>
      <c r="D86" s="175"/>
      <c r="E86" s="175"/>
    </row>
    <row r="87">
      <c r="A87" s="92"/>
      <c r="B87" s="92"/>
      <c r="C87" s="118"/>
      <c r="D87" s="118"/>
      <c r="E87" s="118"/>
    </row>
    <row r="88">
      <c r="A88" s="92"/>
      <c r="B88" s="92"/>
      <c r="C88" s="118"/>
      <c r="D88" s="118"/>
      <c r="E88" s="118"/>
    </row>
    <row r="89">
      <c r="A89" s="92"/>
      <c r="B89" s="92"/>
      <c r="C89" s="118"/>
      <c r="D89" s="118"/>
      <c r="E89" s="118"/>
    </row>
    <row r="90">
      <c r="A90" s="92"/>
      <c r="B90" s="92"/>
      <c r="C90" s="92"/>
      <c r="D90" s="92"/>
      <c r="E90" s="92"/>
    </row>
    <row r="91">
      <c r="A91" s="92"/>
      <c r="B91" s="92"/>
      <c r="C91" s="118"/>
      <c r="D91" s="118"/>
      <c r="E91" s="118"/>
    </row>
    <row r="92">
      <c r="A92" s="92"/>
      <c r="B92" s="92"/>
      <c r="C92" s="118"/>
      <c r="D92" s="118"/>
      <c r="E92" s="118"/>
    </row>
    <row r="93">
      <c r="A93" s="92"/>
      <c r="B93" s="92"/>
      <c r="C93" s="119"/>
      <c r="D93" s="119"/>
      <c r="E93" s="119"/>
    </row>
    <row r="94">
      <c r="A94" s="92"/>
      <c r="B94" s="92"/>
      <c r="C94" s="118"/>
      <c r="D94" s="118"/>
      <c r="E94" s="118"/>
    </row>
    <row r="95">
      <c r="A95" s="92"/>
      <c r="B95" s="92"/>
      <c r="C95" s="119"/>
      <c r="D95" s="119"/>
      <c r="E95" s="119"/>
    </row>
    <row r="96">
      <c r="A96" s="92"/>
      <c r="B96" s="92"/>
      <c r="C96" s="119"/>
      <c r="D96" s="92"/>
      <c r="E96" s="92"/>
    </row>
    <row r="97">
      <c r="A97" s="92"/>
      <c r="B97" s="92"/>
      <c r="C97" s="119"/>
      <c r="D97" s="92"/>
      <c r="E97" s="92"/>
    </row>
  </sheetData>
  <mergeCells count="14">
    <mergeCell ref="B75:L75"/>
    <mergeCell ref="B76:L76"/>
    <mergeCell ref="B77:L77"/>
    <mergeCell ref="B78:L78"/>
    <mergeCell ref="B79:L79"/>
    <mergeCell ref="B80:L80"/>
    <mergeCell ref="B81:L81"/>
    <mergeCell ref="B1:K1"/>
    <mergeCell ref="B69:L69"/>
    <mergeCell ref="B70:L70"/>
    <mergeCell ref="B71:L71"/>
    <mergeCell ref="B72:L72"/>
    <mergeCell ref="B73:L73"/>
    <mergeCell ref="B74:L74"/>
  </mergeCells>
  <drawing r:id="rId1"/>
</worksheet>
</file>